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2590" windowHeight="9630" tabRatio="875" activeTab="0"/>
  </bookViews>
  <sheets>
    <sheet name="2023" sheetId="1" r:id="rId1"/>
    <sheet name="2021" sheetId="2" r:id="rId2"/>
    <sheet name="2020" sheetId="3" r:id="rId3"/>
    <sheet name="2019" sheetId="4" r:id="rId4"/>
    <sheet name="2018" sheetId="5" r:id="rId5"/>
    <sheet name="2017" sheetId="6" r:id="rId6"/>
    <sheet name="2017 13 mois" sheetId="7" r:id="rId7"/>
    <sheet name="2016" sheetId="8" r:id="rId8"/>
    <sheet name="2015" sheetId="9" r:id="rId9"/>
    <sheet name="2014" sheetId="10" r:id="rId10"/>
    <sheet name="2013" sheetId="11" r:id="rId11"/>
    <sheet name="2012" sheetId="12" r:id="rId12"/>
    <sheet name="2011" sheetId="13" r:id="rId13"/>
    <sheet name="2010" sheetId="14" r:id="rId14"/>
  </sheets>
  <definedNames>
    <definedName name="AbondPERCO" localSheetId="13">'2010'!$C$4</definedName>
    <definedName name="AbondPERCO" localSheetId="11">'2012'!$C$4</definedName>
    <definedName name="AbondPERCO" localSheetId="10">'2013'!$C$4</definedName>
    <definedName name="AbondPERCO" localSheetId="9">'2014'!$C$4</definedName>
    <definedName name="AbondPERCO" localSheetId="8">'2015'!$C$4</definedName>
    <definedName name="AbondPERCO" localSheetId="7">'2016'!$C$4</definedName>
    <definedName name="AbondPERCO" localSheetId="5">'2017'!$C$4</definedName>
    <definedName name="AbondPERCO" localSheetId="6">'2017 13 mois'!$C$4</definedName>
    <definedName name="AbondPERCO" localSheetId="4">'2018'!$C$4</definedName>
    <definedName name="AbondPERCO" localSheetId="3">'2019'!$C$4</definedName>
    <definedName name="AbondPERCO" localSheetId="2">'2020'!$C$4</definedName>
    <definedName name="AbondPERCO" localSheetId="1">'2021'!$C$4</definedName>
    <definedName name="AbondPERCO" localSheetId="0">'2023'!$C$4</definedName>
    <definedName name="AbondPERCO">'2011'!$C$4</definedName>
    <definedName name="Brut_mensuel" localSheetId="13">'2010'!$E$6</definedName>
    <definedName name="Brut_mensuel" localSheetId="12">'2011'!$E$6</definedName>
    <definedName name="Brut_mensuel" localSheetId="11">'2012'!$E$6</definedName>
    <definedName name="Brut_mensuel" localSheetId="10">'2013'!$E$6</definedName>
    <definedName name="Brut_mensuel" localSheetId="9">'2014'!$E$6</definedName>
    <definedName name="Brut_mensuel" localSheetId="8">'2015'!$E$6</definedName>
    <definedName name="Brut_mensuel" localSheetId="7">'2016'!$E$6</definedName>
    <definedName name="Brut_mensuel" localSheetId="5">'2017'!$E$6</definedName>
    <definedName name="Brut_mensuel" localSheetId="6">'2017 13 mois'!$E$6</definedName>
    <definedName name="Brut_mensuel" localSheetId="4">'2018'!$E$6</definedName>
    <definedName name="Brut_mensuel" localSheetId="3">'2019'!$E$6</definedName>
    <definedName name="Brut_mensuel" localSheetId="2">'2020'!$E$6</definedName>
    <definedName name="Brut_mensuel" localSheetId="1">'2021'!$E$6</definedName>
    <definedName name="Brut_mensuel" localSheetId="0">'2023'!$E$6</definedName>
    <definedName name="Plafond_SS" localSheetId="13">'2010'!$C$5</definedName>
    <definedName name="Plafond_SS" localSheetId="11">'2012'!$C$5</definedName>
    <definedName name="Plafond_SS" localSheetId="10">'2013'!$C$5</definedName>
    <definedName name="Plafond_SS" localSheetId="9">'2014'!$C$5</definedName>
    <definedName name="Plafond_SS" localSheetId="8">'2015'!$C$5</definedName>
    <definedName name="Plafond_SS" localSheetId="7">'2016'!$C$5</definedName>
    <definedName name="Plafond_SS" localSheetId="5">'2017'!$C$5</definedName>
    <definedName name="Plafond_SS" localSheetId="6">'2017 13 mois'!$C$5</definedName>
    <definedName name="Plafond_SS" localSheetId="4">'2018'!$C$5</definedName>
    <definedName name="Plafond_SS" localSheetId="3">'2019'!$C$5</definedName>
    <definedName name="Plafond_SS" localSheetId="2">'2020'!$C$5</definedName>
    <definedName name="Plafond_SS" localSheetId="1">'2021'!$C$5</definedName>
    <definedName name="Plafond_SS" localSheetId="0">'2023'!$C$5</definedName>
    <definedName name="Plafond_SS">'2011'!$C$5</definedName>
    <definedName name="Salaire_brut" localSheetId="13">'2010'!$C$3</definedName>
    <definedName name="Salaire_brut" localSheetId="11">'2012'!$C$3</definedName>
    <definedName name="Salaire_brut" localSheetId="10">'2013'!$C$3</definedName>
    <definedName name="Salaire_brut" localSheetId="9">'2014'!$C$3</definedName>
    <definedName name="Salaire_brut" localSheetId="8">'2015'!$C$3</definedName>
    <definedName name="Salaire_brut" localSheetId="7">'2016'!$C$3</definedName>
    <definedName name="Salaire_brut" localSheetId="5">'2017'!$C$3</definedName>
    <definedName name="Salaire_brut" localSheetId="6">'2017 13 mois'!$C$3</definedName>
    <definedName name="Salaire_brut" localSheetId="4">'2018'!$C$3</definedName>
    <definedName name="Salaire_brut" localSheetId="3">'2019'!$C$3</definedName>
    <definedName name="Salaire_brut" localSheetId="2">'2020'!$C$3</definedName>
    <definedName name="Salaire_brut" localSheetId="1">'2021'!$C$3</definedName>
    <definedName name="Salaire_brut" localSheetId="0">'2023'!$C$3</definedName>
    <definedName name="Salaire_brut">'2011'!$C$3</definedName>
  </definedNames>
  <calcPr fullCalcOnLoad="1"/>
</workbook>
</file>

<file path=xl/comments1.xml><?xml version="1.0" encoding="utf-8"?>
<comments xmlns="http://schemas.openxmlformats.org/spreadsheetml/2006/main">
  <authors>
    <author>JOCELYN</author>
  </authors>
  <commentList>
    <comment ref="G13" authorId="0">
      <text>
        <r>
          <rPr>
            <sz val="9"/>
            <rFont val="Tahoma"/>
            <family val="2"/>
          </rPr>
          <t xml:space="preserve">Les cotisations patronales "Frais de santé"ne sont pas prises en compte pour l'excédent fiscal à réintégrer, car elles doivent être ajoutées au net imposable du salarié dès le 1er Euro 
à compter du 01/01/2013
(Loi 2013-1278 du 30/12/2013). </t>
        </r>
      </text>
    </comment>
    <comment ref="H17" authorId="0">
      <text>
        <r>
          <rPr>
            <b/>
            <sz val="9"/>
            <rFont val="Tahoma"/>
            <family val="2"/>
          </rPr>
          <t>hors cotisations patronales "Frais de santé"</t>
        </r>
        <r>
          <rPr>
            <sz val="9"/>
            <rFont val="Tahoma"/>
            <family val="2"/>
          </rPr>
          <t xml:space="preserve">
</t>
        </r>
      </text>
    </comment>
  </commentList>
</comments>
</file>

<file path=xl/comments10.xml><?xml version="1.0" encoding="utf-8"?>
<comments xmlns="http://schemas.openxmlformats.org/spreadsheetml/2006/main">
  <authors>
    <author>JOCELYN</author>
  </authors>
  <commentList>
    <comment ref="G13" authorId="0">
      <text>
        <r>
          <rPr>
            <sz val="9"/>
            <rFont val="Tahoma"/>
            <family val="2"/>
          </rPr>
          <t xml:space="preserve">Les cotisations patronales "Frais de santé"ne sont pas prises en compte pour l'excédent fiscal à réintégrer, car elles doivent être ajoutées au net imposable du salarié dès le 1er Euro 
à compter du 01/01/2013
(Loi 2013-1278 du 30/12/2013). </t>
        </r>
      </text>
    </comment>
    <comment ref="H17" authorId="0">
      <text>
        <r>
          <rPr>
            <b/>
            <sz val="9"/>
            <rFont val="Tahoma"/>
            <family val="2"/>
          </rPr>
          <t>hors cotisations patronales "Frais de santé"</t>
        </r>
        <r>
          <rPr>
            <sz val="9"/>
            <rFont val="Tahoma"/>
            <family val="2"/>
          </rPr>
          <t xml:space="preserve">
</t>
        </r>
      </text>
    </comment>
  </commentList>
</comments>
</file>

<file path=xl/comments11.xml><?xml version="1.0" encoding="utf-8"?>
<comments xmlns="http://schemas.openxmlformats.org/spreadsheetml/2006/main">
  <authors>
    <author>JOCELYN</author>
  </authors>
  <commentList>
    <comment ref="G13" authorId="0">
      <text>
        <r>
          <rPr>
            <sz val="9"/>
            <rFont val="Tahoma"/>
            <family val="2"/>
          </rPr>
          <t xml:space="preserve">Les cotisations patronales "Frais de santé"ne sont pas prises en compte pour l'excédent fiscal à réintégrer, car elles doivent être ajoutées au net imposable du salarié dès le 1er Euro 
à compter du 01/01/2013
(Loi 2013-1278 du 30/12/2013). </t>
        </r>
      </text>
    </comment>
    <comment ref="H17" authorId="0">
      <text>
        <r>
          <rPr>
            <b/>
            <sz val="9"/>
            <rFont val="Tahoma"/>
            <family val="2"/>
          </rPr>
          <t>hors cotisations patronales "Frais de santé"</t>
        </r>
        <r>
          <rPr>
            <sz val="9"/>
            <rFont val="Tahoma"/>
            <family val="2"/>
          </rPr>
          <t xml:space="preserve">
</t>
        </r>
      </text>
    </comment>
  </commentList>
</comments>
</file>

<file path=xl/comments2.xml><?xml version="1.0" encoding="utf-8"?>
<comments xmlns="http://schemas.openxmlformats.org/spreadsheetml/2006/main">
  <authors>
    <author>JOCELYN</author>
  </authors>
  <commentList>
    <comment ref="G13" authorId="0">
      <text>
        <r>
          <rPr>
            <sz val="9"/>
            <rFont val="Tahoma"/>
            <family val="2"/>
          </rPr>
          <t xml:space="preserve">Les cotisations patronales "Frais de santé"ne sont pas prises en compte pour l'excédent fiscal à réintégrer, car elles doivent être ajoutées au net imposable du salarié dès le 1er Euro 
à compter du 01/01/2013
(Loi 2013-1278 du 30/12/2013). </t>
        </r>
      </text>
    </comment>
    <comment ref="H17" authorId="0">
      <text>
        <r>
          <rPr>
            <b/>
            <sz val="9"/>
            <rFont val="Tahoma"/>
            <family val="2"/>
          </rPr>
          <t>hors cotisations patronales "Frais de santé"</t>
        </r>
        <r>
          <rPr>
            <sz val="9"/>
            <rFont val="Tahoma"/>
            <family val="2"/>
          </rPr>
          <t xml:space="preserve">
</t>
        </r>
      </text>
    </comment>
  </commentList>
</comments>
</file>

<file path=xl/comments3.xml><?xml version="1.0" encoding="utf-8"?>
<comments xmlns="http://schemas.openxmlformats.org/spreadsheetml/2006/main">
  <authors>
    <author>JOCELYN</author>
  </authors>
  <commentList>
    <comment ref="G13" authorId="0">
      <text>
        <r>
          <rPr>
            <sz val="9"/>
            <rFont val="Tahoma"/>
            <family val="2"/>
          </rPr>
          <t xml:space="preserve">Les cotisations patronales "Frais de santé"ne sont pas prises en compte pour l'excédent fiscal à réintégrer, car elles doivent être ajoutées au net imposable du salarié dès le 1er Euro 
à compter du 01/01/2013
(Loi 2013-1278 du 30/12/2013). </t>
        </r>
      </text>
    </comment>
    <comment ref="H17" authorId="0">
      <text>
        <r>
          <rPr>
            <b/>
            <sz val="9"/>
            <rFont val="Tahoma"/>
            <family val="2"/>
          </rPr>
          <t>hors cotisations patronales "Frais de santé"</t>
        </r>
        <r>
          <rPr>
            <sz val="9"/>
            <rFont val="Tahoma"/>
            <family val="2"/>
          </rPr>
          <t xml:space="preserve">
</t>
        </r>
      </text>
    </comment>
  </commentList>
</comments>
</file>

<file path=xl/comments4.xml><?xml version="1.0" encoding="utf-8"?>
<comments xmlns="http://schemas.openxmlformats.org/spreadsheetml/2006/main">
  <authors>
    <author>JOCELYN</author>
  </authors>
  <commentList>
    <comment ref="G13" authorId="0">
      <text>
        <r>
          <rPr>
            <sz val="9"/>
            <rFont val="Tahoma"/>
            <family val="2"/>
          </rPr>
          <t xml:space="preserve">Les cotisations patronales "Frais de santé"ne sont pas prises en compte pour l'excédent fiscal à réintégrer, car elles doivent être ajoutées au net imposable du salarié dès le 1er Euro 
à compter du 01/01/2013
(Loi 2013-1278 du 30/12/2013). </t>
        </r>
      </text>
    </comment>
    <comment ref="H17" authorId="0">
      <text>
        <r>
          <rPr>
            <b/>
            <sz val="9"/>
            <rFont val="Tahoma"/>
            <family val="2"/>
          </rPr>
          <t>hors cotisations patronales "Frais de santé"</t>
        </r>
        <r>
          <rPr>
            <sz val="9"/>
            <rFont val="Tahoma"/>
            <family val="2"/>
          </rPr>
          <t xml:space="preserve">
</t>
        </r>
      </text>
    </comment>
  </commentList>
</comments>
</file>

<file path=xl/comments5.xml><?xml version="1.0" encoding="utf-8"?>
<comments xmlns="http://schemas.openxmlformats.org/spreadsheetml/2006/main">
  <authors>
    <author>JOCELYN</author>
  </authors>
  <commentList>
    <comment ref="G13" authorId="0">
      <text>
        <r>
          <rPr>
            <sz val="9"/>
            <rFont val="Tahoma"/>
            <family val="2"/>
          </rPr>
          <t xml:space="preserve">Les cotisations patronales "Frais de santé"ne sont pas prises en compte pour l'excédent fiscal à réintégrer, car elles doivent être ajoutées au net imposable du salarié dès le 1er Euro 
à compter du 01/01/2013
(Loi 2013-1278 du 30/12/2013). </t>
        </r>
      </text>
    </comment>
    <comment ref="H17" authorId="0">
      <text>
        <r>
          <rPr>
            <b/>
            <sz val="9"/>
            <rFont val="Tahoma"/>
            <family val="2"/>
          </rPr>
          <t>hors cotisations patronales "Frais de santé"</t>
        </r>
        <r>
          <rPr>
            <sz val="9"/>
            <rFont val="Tahoma"/>
            <family val="2"/>
          </rPr>
          <t xml:space="preserve">
</t>
        </r>
      </text>
    </comment>
  </commentList>
</comments>
</file>

<file path=xl/comments6.xml><?xml version="1.0" encoding="utf-8"?>
<comments xmlns="http://schemas.openxmlformats.org/spreadsheetml/2006/main">
  <authors>
    <author>JOCELYN</author>
  </authors>
  <commentList>
    <comment ref="G13" authorId="0">
      <text>
        <r>
          <rPr>
            <sz val="9"/>
            <rFont val="Tahoma"/>
            <family val="2"/>
          </rPr>
          <t xml:space="preserve">Les cotisations patronales "Frais de santé"ne sont pas prises en compte pour l'excédent fiscal à réintégrer, car elles doivent être ajoutées au net imposable du salarié dès le 1er Euro 
à compter du 01/01/2013
(Loi 2013-1278 du 30/12/2013). </t>
        </r>
      </text>
    </comment>
    <comment ref="H17" authorId="0">
      <text>
        <r>
          <rPr>
            <b/>
            <sz val="9"/>
            <rFont val="Tahoma"/>
            <family val="2"/>
          </rPr>
          <t>hors cotisations patronales "Frais de santé"</t>
        </r>
        <r>
          <rPr>
            <sz val="9"/>
            <rFont val="Tahoma"/>
            <family val="2"/>
          </rPr>
          <t xml:space="preserve">
</t>
        </r>
      </text>
    </comment>
  </commentList>
</comments>
</file>

<file path=xl/comments7.xml><?xml version="1.0" encoding="utf-8"?>
<comments xmlns="http://schemas.openxmlformats.org/spreadsheetml/2006/main">
  <authors>
    <author>JOCELYN</author>
  </authors>
  <commentList>
    <comment ref="G13" authorId="0">
      <text>
        <r>
          <rPr>
            <sz val="9"/>
            <rFont val="Tahoma"/>
            <family val="2"/>
          </rPr>
          <t xml:space="preserve">Les cotisations patronales "Frais de santé"ne sont pas prises en compte pour l'excédent fiscal à réintégrer, car elles doivent être ajoutées au net imposable du salarié dès le 1er Euro 
à compter du 01/01/2013
(Loi 2013-1278 du 30/12/2013). </t>
        </r>
      </text>
    </comment>
    <comment ref="H17" authorId="0">
      <text>
        <r>
          <rPr>
            <b/>
            <sz val="9"/>
            <rFont val="Tahoma"/>
            <family val="2"/>
          </rPr>
          <t>hors cotisations patronales "Frais de santé"</t>
        </r>
        <r>
          <rPr>
            <sz val="9"/>
            <rFont val="Tahoma"/>
            <family val="2"/>
          </rPr>
          <t xml:space="preserve">
</t>
        </r>
      </text>
    </comment>
  </commentList>
</comments>
</file>

<file path=xl/comments8.xml><?xml version="1.0" encoding="utf-8"?>
<comments xmlns="http://schemas.openxmlformats.org/spreadsheetml/2006/main">
  <authors>
    <author>JOCELYN</author>
  </authors>
  <commentList>
    <comment ref="G13" authorId="0">
      <text>
        <r>
          <rPr>
            <sz val="9"/>
            <rFont val="Tahoma"/>
            <family val="2"/>
          </rPr>
          <t xml:space="preserve">Les cotisations patronales "Frais de santé"ne sont pas prises en compte pour l'excédent fiscal à réintégrer, car elles doivent être ajoutées au net imposable du salarié dès le 1er Euro 
à compter du 01/01/2013
(Loi 2013-1278 du 30/12/2013). </t>
        </r>
      </text>
    </comment>
    <comment ref="H17" authorId="0">
      <text>
        <r>
          <rPr>
            <b/>
            <sz val="9"/>
            <rFont val="Tahoma"/>
            <family val="2"/>
          </rPr>
          <t>hors cotisations patronales "Frais de santé"</t>
        </r>
        <r>
          <rPr>
            <sz val="9"/>
            <rFont val="Tahoma"/>
            <family val="2"/>
          </rPr>
          <t xml:space="preserve">
</t>
        </r>
      </text>
    </comment>
  </commentList>
</comments>
</file>

<file path=xl/comments9.xml><?xml version="1.0" encoding="utf-8"?>
<comments xmlns="http://schemas.openxmlformats.org/spreadsheetml/2006/main">
  <authors>
    <author>JOCELYN</author>
  </authors>
  <commentList>
    <comment ref="G13" authorId="0">
      <text>
        <r>
          <rPr>
            <sz val="9"/>
            <rFont val="Tahoma"/>
            <family val="2"/>
          </rPr>
          <t xml:space="preserve">Les cotisations patronales "Frais de santé"ne sont pas prises en compte pour l'excédent fiscal à réintégrer, car elles doivent être ajoutées au net imposable du salarié dès le 1er Euro 
à compter du 01/01/2013
(Loi 2013-1278 du 30/12/2013). </t>
        </r>
      </text>
    </comment>
    <comment ref="H17" authorId="0">
      <text>
        <r>
          <rPr>
            <b/>
            <sz val="9"/>
            <rFont val="Tahoma"/>
            <family val="2"/>
          </rPr>
          <t>hors cotisations patronales "Frais de santé"</t>
        </r>
        <r>
          <rPr>
            <sz val="9"/>
            <rFont val="Tahoma"/>
            <family val="2"/>
          </rPr>
          <t xml:space="preserve">
</t>
        </r>
      </text>
    </comment>
  </commentList>
</comments>
</file>

<file path=xl/sharedStrings.xml><?xml version="1.0" encoding="utf-8"?>
<sst xmlns="http://schemas.openxmlformats.org/spreadsheetml/2006/main" count="532" uniqueCount="49">
  <si>
    <t>Taux salarial</t>
  </si>
  <si>
    <t>Taux patronal</t>
  </si>
  <si>
    <t>Salaire brut</t>
  </si>
  <si>
    <t>Base</t>
  </si>
  <si>
    <t>Retraite supplémentaire</t>
  </si>
  <si>
    <t>T1</t>
  </si>
  <si>
    <t>T2</t>
  </si>
  <si>
    <t>T3</t>
  </si>
  <si>
    <t>Total</t>
  </si>
  <si>
    <t>Cotis. Salariale</t>
  </si>
  <si>
    <t>Cotis. Patronale</t>
  </si>
  <si>
    <t>Prévoyance</t>
  </si>
  <si>
    <t>Seuil fiscal</t>
  </si>
  <si>
    <t>Total sal+patr</t>
  </si>
  <si>
    <t>Excédent à réintégrer</t>
  </si>
  <si>
    <t>Excédent fiscal</t>
  </si>
  <si>
    <t>Complément rémunération</t>
  </si>
  <si>
    <t>Cotis non déductibles</t>
  </si>
  <si>
    <t>Total patronal</t>
  </si>
  <si>
    <t>Bulletin de paye</t>
  </si>
  <si>
    <t>Excédent social</t>
  </si>
  <si>
    <t>Libellé</t>
  </si>
  <si>
    <t>Mutuelle</t>
  </si>
  <si>
    <t>Forfait</t>
  </si>
  <si>
    <t>Total Prévoyance+Mutuelle</t>
  </si>
  <si>
    <t xml:space="preserve">
Mode d'emploi</t>
  </si>
  <si>
    <t>A réintégrer dans LDPaye</t>
  </si>
  <si>
    <t>Plafond SS 2010</t>
  </si>
  <si>
    <t>Abondement PERCO</t>
  </si>
  <si>
    <t xml:space="preserve">
1) Saisissez le salaire brut annuel, et le plafond SS annuel, et si nécessaire l'abondement à un PERCO
2) renseignez les taux de cotisation salarial et patronal, pour chaque tranche de cotisation
     - en retraite Supplémentaire le cas échéant
     - en Prévoyance
     - en Mutuelle 
3) Dans le cas d'une mutuelle forfaitaire, renseignez le montant du forfait salarial et/ou patronal sur la ligne Forfait
4) les excédents à réintégrer sont calculés ; ce sont les montants figurant en rouge.
    L'excédent fiscal est partagé, au prorata des cotisations salariales et patronales,
    entre un complément de rémunération et des cotisations salariales non déductibles.
5) Les montants à réintégrer dans LDPaye sont ceux portés sur la dernière ligne
Remarque : la feuille Excel est protégée ; seules les cellules avec un fond bleu sont accessibles en saisie.</t>
  </si>
  <si>
    <t>Plafond SS 2011</t>
  </si>
  <si>
    <t>Seuil social</t>
  </si>
  <si>
    <t>Plafond SS 2012</t>
  </si>
  <si>
    <t>Plafond SS 2013</t>
  </si>
  <si>
    <t>Plafond SS 2014</t>
  </si>
  <si>
    <t>Plafond SS 2015</t>
  </si>
  <si>
    <t>Plafond SS 2016</t>
  </si>
  <si>
    <t>Plafond SS 2017</t>
  </si>
  <si>
    <t>Salaire brut 12/2016 à 12/2017</t>
  </si>
  <si>
    <t>Plafond SS 2017 13 mois</t>
  </si>
  <si>
    <r>
      <t xml:space="preserve">
1) Saisissez le </t>
    </r>
    <r>
      <rPr>
        <b/>
        <sz val="10"/>
        <rFont val="Arial"/>
        <family val="2"/>
      </rPr>
      <t>salaire brut annuel sur 13 mois, de décembre 2016 à décembre 2017</t>
    </r>
    <r>
      <rPr>
        <sz val="10"/>
        <rFont val="Arial"/>
        <family val="0"/>
      </rPr>
      <t xml:space="preserve">,
    le </t>
    </r>
    <r>
      <rPr>
        <b/>
        <sz val="10"/>
        <rFont val="Arial"/>
        <family val="2"/>
      </rPr>
      <t>plafond SS annuel sur 13 mois</t>
    </r>
    <r>
      <rPr>
        <sz val="10"/>
        <rFont val="Arial"/>
        <family val="0"/>
      </rPr>
      <t>, et si nécessaire l'abondement à un PERCO
2) renseignez les taux de cotisation salarial et patronal, pour chaque tranche de cotisation
     - en retraite Supplémentaire le cas échéant
     - en Prévoyance
     - en Mutuelle 
3) Dans le cas d'une mutuelle forfaitaire, renseignez le montant du forfait salarial et/ou patronal sur la ligne Forfait
4) les excédents à réintégrer sont calculés ; ce sont les montants figurant en rouge.
    L'excédent fiscal est partagé, au prorata des cotisations salariales et patronales,
    entre un complément de rémunération et des cotisations salariales non déductibles.
5) Les montants à réintégrer dans LDPaye sont ceux portés sur la dernière ligne
Remarque : la feuille Excel est protégée ; seules les cellules avec un fond bleu sont accessibles en saisie.</t>
    </r>
  </si>
  <si>
    <t>Plafond SS 2018</t>
  </si>
  <si>
    <t>Plafond SS 2019</t>
  </si>
  <si>
    <t>Abondement PERCO ou PERE-CO</t>
  </si>
  <si>
    <t>Retraite supplémentaire
ou PERE-OB</t>
  </si>
  <si>
    <t xml:space="preserve">
1) Saisissez le salaire brut annuel, et le plafond SS annuel, et si nécessaire l'abondement à un PERCO ou PERE-CO
2) renseignez les taux de cotisation salarial et patronal, pour chaque tranche de cotisation
     - en retraite Supplémentaire (ou PERE-OB) le cas échéant
     - en Prévoyance
     - en Mutuelle 
3) Dans le cas d'une mutuelle forfaitaire, renseignez le montant du forfait salarial et/ou patronal sur la ligne Forfait
4) les excédents à réintégrer sont calculés ; ce sont les montants figurant en rouge.
    L'excédent fiscal est partagé, au prorata des cotisations salariales et patronales,
    entre un complément de rémunération et des cotisations salariales non déductibles.
5) Les montants à réintégrer dans LDPaye sont ceux portés sur la dernière ligne
Remarque : la feuille Excel est protégée ; seules les cellules avec un fond bleu sont accessibles en saisie.</t>
  </si>
  <si>
    <t>Plafond SS 2020</t>
  </si>
  <si>
    <t>Plafond SS 2021</t>
  </si>
  <si>
    <t>Plafond SS 2023</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</si>
</sst>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0"/>
  </numFmts>
  <fonts count="48">
    <font>
      <sz val="10"/>
      <name val="Arial"/>
      <family val="0"/>
    </font>
    <font>
      <sz val="8"/>
      <name val="Arial"/>
      <family val="2"/>
    </font>
    <font>
      <b/>
      <sz val="10"/>
      <name val="Arial"/>
      <family val="2"/>
    </font>
    <font>
      <sz val="10"/>
      <color indexed="12"/>
      <name val="Arial"/>
      <family val="2"/>
    </font>
    <font>
      <i/>
      <sz val="10"/>
      <name val="Arial"/>
      <family val="2"/>
    </font>
    <font>
      <i/>
      <sz val="8"/>
      <name val="Arial"/>
      <family val="2"/>
    </font>
    <font>
      <i/>
      <sz val="10"/>
      <color indexed="12"/>
      <name val="Arial"/>
      <family val="2"/>
    </font>
    <font>
      <b/>
      <sz val="10"/>
      <color indexed="10"/>
      <name val="Arial"/>
      <family val="2"/>
    </font>
    <font>
      <b/>
      <sz val="10"/>
      <color indexed="12"/>
      <name val="Arial"/>
      <family val="2"/>
    </font>
    <font>
      <b/>
      <i/>
      <sz val="10"/>
      <name val="Arial"/>
      <family val="2"/>
    </font>
    <font>
      <b/>
      <sz val="11"/>
      <name val="Arial"/>
      <family val="2"/>
    </font>
    <font>
      <sz val="9"/>
      <name val="Tahoma"/>
      <family val="2"/>
    </font>
    <font>
      <b/>
      <sz val="9"/>
      <name val="Tahoma"/>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rgb="FFFFFF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style="medium"/>
    </border>
    <border>
      <left style="medium"/>
      <right>
        <color indexed="63"/>
      </right>
      <top style="thin"/>
      <bottom style="medium"/>
    </border>
    <border>
      <left>
        <color indexed="63"/>
      </left>
      <right style="medium"/>
      <top style="thin"/>
      <bottom style="medium"/>
    </border>
    <border>
      <left>
        <color indexed="63"/>
      </left>
      <right style="thin"/>
      <top>
        <color indexed="63"/>
      </top>
      <bottom>
        <color indexed="63"/>
      </bottom>
    </border>
    <border>
      <left>
        <color indexed="63"/>
      </left>
      <right style="thin"/>
      <top style="thin"/>
      <bottom style="medium"/>
    </border>
    <border>
      <left style="thin"/>
      <right>
        <color indexed="63"/>
      </right>
      <top style="thin"/>
      <bottom style="medium"/>
    </border>
    <border>
      <left style="medium"/>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0" borderId="2" applyNumberFormat="0" applyFill="0" applyAlignment="0" applyProtection="0"/>
    <xf numFmtId="0" fontId="35" fillId="27" borderId="1" applyNumberFormat="0" applyAlignment="0" applyProtection="0"/>
    <xf numFmtId="0" fontId="36"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8" fillId="31" borderId="0" applyNumberFormat="0" applyBorder="0" applyAlignment="0" applyProtection="0"/>
    <xf numFmtId="0" fontId="39" fillId="26" borderId="4"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2" borderId="9" applyNumberFormat="0" applyAlignment="0" applyProtection="0"/>
  </cellStyleXfs>
  <cellXfs count="92">
    <xf numFmtId="0" fontId="0" fillId="0" borderId="0" xfId="0" applyAlignment="1">
      <alignment/>
    </xf>
    <xf numFmtId="4" fontId="8" fillId="33" borderId="10" xfId="0" applyNumberFormat="1" applyFont="1" applyFill="1" applyBorder="1" applyAlignment="1" applyProtection="1" quotePrefix="1">
      <alignment vertical="center"/>
      <protection locked="0"/>
    </xf>
    <xf numFmtId="4" fontId="8" fillId="33" borderId="11" xfId="0" applyNumberFormat="1" applyFont="1" applyFill="1" applyBorder="1" applyAlignment="1" applyProtection="1" quotePrefix="1">
      <alignment vertical="center"/>
      <protection locked="0"/>
    </xf>
    <xf numFmtId="0" fontId="0" fillId="34" borderId="12" xfId="0" applyFill="1" applyBorder="1" applyAlignment="1" applyProtection="1">
      <alignment vertical="center"/>
      <protection/>
    </xf>
    <xf numFmtId="0" fontId="0" fillId="34" borderId="13" xfId="0" applyFill="1" applyBorder="1" applyAlignment="1" applyProtection="1">
      <alignment horizontal="center" vertical="center"/>
      <protection/>
    </xf>
    <xf numFmtId="0" fontId="2" fillId="34" borderId="13" xfId="0" applyFont="1" applyFill="1" applyBorder="1" applyAlignment="1" applyProtection="1">
      <alignment vertical="center"/>
      <protection/>
    </xf>
    <xf numFmtId="0" fontId="2" fillId="34" borderId="14" xfId="0" applyFont="1" applyFill="1" applyBorder="1" applyAlignment="1" applyProtection="1">
      <alignment vertical="center"/>
      <protection/>
    </xf>
    <xf numFmtId="0" fontId="0" fillId="0" borderId="0" xfId="0" applyAlignment="1" applyProtection="1">
      <alignment vertical="center"/>
      <protection/>
    </xf>
    <xf numFmtId="0" fontId="5" fillId="34" borderId="15" xfId="0" applyFont="1" applyFill="1" applyBorder="1" applyAlignment="1" applyProtection="1">
      <alignment horizontal="center" vertical="center" wrapText="1"/>
      <protection/>
    </xf>
    <xf numFmtId="0" fontId="5" fillId="34" borderId="0" xfId="0" applyFont="1" applyFill="1" applyBorder="1" applyAlignment="1" applyProtection="1">
      <alignment horizontal="center" vertical="center" wrapText="1"/>
      <protection/>
    </xf>
    <xf numFmtId="0" fontId="5" fillId="34" borderId="0" xfId="0" applyFont="1" applyFill="1" applyBorder="1" applyAlignment="1" applyProtection="1" quotePrefix="1">
      <alignment horizontal="center" vertical="center" wrapText="1"/>
      <protection/>
    </xf>
    <xf numFmtId="0" fontId="5" fillId="34" borderId="16" xfId="0" applyFont="1" applyFill="1" applyBorder="1" applyAlignment="1" applyProtection="1" quotePrefix="1">
      <alignment horizontal="center" vertical="center" wrapText="1"/>
      <protection/>
    </xf>
    <xf numFmtId="0" fontId="5" fillId="35" borderId="15" xfId="0" applyFont="1" applyFill="1" applyBorder="1" applyAlignment="1" applyProtection="1">
      <alignment horizontal="center" vertical="center" wrapText="1"/>
      <protection/>
    </xf>
    <xf numFmtId="0" fontId="5" fillId="35" borderId="0" xfId="0" applyFont="1" applyFill="1" applyBorder="1" applyAlignment="1" applyProtection="1">
      <alignment horizontal="center" vertical="center" wrapText="1"/>
      <protection/>
    </xf>
    <xf numFmtId="0" fontId="5" fillId="35" borderId="16" xfId="0" applyFont="1" applyFill="1" applyBorder="1" applyAlignment="1" applyProtection="1">
      <alignment horizontal="center" vertical="center" wrapText="1"/>
      <protection/>
    </xf>
    <xf numFmtId="0" fontId="5" fillId="36" borderId="15" xfId="0" applyFont="1" applyFill="1" applyBorder="1" applyAlignment="1" applyProtection="1" quotePrefix="1">
      <alignment horizontal="center" vertical="center" wrapText="1"/>
      <protection/>
    </xf>
    <xf numFmtId="0" fontId="5" fillId="36" borderId="0" xfId="0" applyFont="1" applyFill="1" applyBorder="1" applyAlignment="1" applyProtection="1">
      <alignment horizontal="center" vertical="center" wrapText="1"/>
      <protection/>
    </xf>
    <xf numFmtId="0" fontId="5" fillId="36" borderId="16" xfId="0" applyFont="1" applyFill="1" applyBorder="1" applyAlignment="1" applyProtection="1">
      <alignment horizontal="center" vertical="center" wrapText="1"/>
      <protection/>
    </xf>
    <xf numFmtId="0" fontId="5" fillId="0" borderId="0" xfId="0" applyFont="1" applyAlignment="1" applyProtection="1">
      <alignment horizontal="center" vertical="center" wrapText="1"/>
      <protection/>
    </xf>
    <xf numFmtId="0" fontId="0" fillId="0" borderId="0" xfId="0" applyBorder="1" applyAlignment="1" applyProtection="1">
      <alignment horizontal="center" vertical="center"/>
      <protection/>
    </xf>
    <xf numFmtId="4" fontId="0" fillId="0" borderId="11" xfId="0" applyNumberFormat="1" applyBorder="1" applyAlignment="1" applyProtection="1" quotePrefix="1">
      <alignment vertical="center"/>
      <protection/>
    </xf>
    <xf numFmtId="4" fontId="0" fillId="0" borderId="0" xfId="0" applyNumberFormat="1" applyBorder="1" applyAlignment="1" applyProtection="1" quotePrefix="1">
      <alignment vertical="center"/>
      <protection/>
    </xf>
    <xf numFmtId="4" fontId="0" fillId="0" borderId="16" xfId="0" applyNumberFormat="1" applyBorder="1" applyAlignment="1" applyProtection="1" quotePrefix="1">
      <alignment vertical="center"/>
      <protection/>
    </xf>
    <xf numFmtId="0" fontId="4" fillId="0" borderId="0" xfId="0" applyFont="1" applyBorder="1" applyAlignment="1" applyProtection="1">
      <alignment horizontal="center" vertical="center"/>
      <protection/>
    </xf>
    <xf numFmtId="4" fontId="4" fillId="0" borderId="0" xfId="0" applyNumberFormat="1" applyFont="1" applyBorder="1" applyAlignment="1" applyProtection="1" quotePrefix="1">
      <alignment vertical="center"/>
      <protection/>
    </xf>
    <xf numFmtId="2" fontId="6" fillId="0" borderId="11" xfId="0" applyNumberFormat="1" applyFont="1" applyBorder="1" applyAlignment="1" applyProtection="1">
      <alignment horizontal="right" vertical="center"/>
      <protection/>
    </xf>
    <xf numFmtId="4" fontId="4" fillId="0" borderId="16" xfId="0" applyNumberFormat="1" applyFont="1" applyBorder="1" applyAlignment="1" applyProtection="1" quotePrefix="1">
      <alignment vertical="center"/>
      <protection/>
    </xf>
    <xf numFmtId="4" fontId="4" fillId="0" borderId="15" xfId="0" applyNumberFormat="1" applyFont="1" applyBorder="1" applyAlignment="1" applyProtection="1" quotePrefix="1">
      <alignment vertical="center"/>
      <protection/>
    </xf>
    <xf numFmtId="4" fontId="2" fillId="0" borderId="0" xfId="0" applyNumberFormat="1" applyFont="1" applyBorder="1" applyAlignment="1" applyProtection="1">
      <alignment vertical="center"/>
      <protection/>
    </xf>
    <xf numFmtId="4" fontId="7" fillId="0" borderId="0" xfId="0" applyNumberFormat="1" applyFont="1" applyBorder="1" applyAlignment="1" applyProtection="1">
      <alignment vertical="center"/>
      <protection/>
    </xf>
    <xf numFmtId="4" fontId="0" fillId="0" borderId="0" xfId="0" applyNumberFormat="1" applyFont="1" applyBorder="1" applyAlignment="1" applyProtection="1">
      <alignment vertical="center"/>
      <protection/>
    </xf>
    <xf numFmtId="4" fontId="0" fillId="0" borderId="16" xfId="0" applyNumberFormat="1" applyFont="1" applyBorder="1" applyAlignment="1" applyProtection="1">
      <alignment vertical="center"/>
      <protection/>
    </xf>
    <xf numFmtId="4" fontId="7" fillId="0" borderId="16" xfId="0" applyNumberFormat="1" applyFont="1" applyBorder="1" applyAlignment="1" applyProtection="1">
      <alignment vertical="center"/>
      <protection/>
    </xf>
    <xf numFmtId="0" fontId="4" fillId="0" borderId="0" xfId="0" applyFont="1" applyAlignment="1" applyProtection="1">
      <alignment vertical="center"/>
      <protection/>
    </xf>
    <xf numFmtId="2" fontId="3" fillId="0" borderId="11" xfId="0" applyNumberFormat="1" applyFont="1" applyBorder="1" applyAlignment="1" applyProtection="1">
      <alignment horizontal="right" vertical="center"/>
      <protection/>
    </xf>
    <xf numFmtId="0" fontId="0" fillId="0" borderId="0" xfId="0" applyAlignment="1" applyProtection="1">
      <alignment/>
      <protection/>
    </xf>
    <xf numFmtId="0" fontId="0" fillId="0" borderId="0" xfId="0" applyAlignment="1" applyProtection="1">
      <alignment horizontal="center"/>
      <protection/>
    </xf>
    <xf numFmtId="4" fontId="8" fillId="33" borderId="0" xfId="0" applyNumberFormat="1" applyFont="1" applyFill="1" applyBorder="1" applyAlignment="1" applyProtection="1" quotePrefix="1">
      <alignment vertical="center"/>
      <protection locked="0"/>
    </xf>
    <xf numFmtId="4" fontId="8" fillId="33" borderId="16" xfId="0" applyNumberFormat="1" applyFont="1" applyFill="1" applyBorder="1" applyAlignment="1" applyProtection="1" quotePrefix="1">
      <alignment vertical="center"/>
      <protection locked="0"/>
    </xf>
    <xf numFmtId="166" fontId="3" fillId="33" borderId="0" xfId="0" applyNumberFormat="1" applyFont="1" applyFill="1" applyBorder="1" applyAlignment="1" applyProtection="1">
      <alignment horizontal="right" vertical="center"/>
      <protection locked="0"/>
    </xf>
    <xf numFmtId="166" fontId="3" fillId="33" borderId="11" xfId="0" applyNumberFormat="1" applyFont="1" applyFill="1" applyBorder="1" applyAlignment="1" applyProtection="1">
      <alignment horizontal="right" vertical="center"/>
      <protection locked="0"/>
    </xf>
    <xf numFmtId="0" fontId="4" fillId="0" borderId="11" xfId="0" applyFont="1" applyBorder="1" applyAlignment="1" applyProtection="1">
      <alignment horizontal="center" vertical="center"/>
      <protection/>
    </xf>
    <xf numFmtId="4" fontId="2" fillId="0" borderId="17" xfId="0" applyNumberFormat="1" applyFont="1" applyBorder="1" applyAlignment="1" applyProtection="1">
      <alignment vertical="center"/>
      <protection/>
    </xf>
    <xf numFmtId="4" fontId="7" fillId="0" borderId="17" xfId="0" applyNumberFormat="1" applyFont="1" applyBorder="1" applyAlignment="1" applyProtection="1">
      <alignment vertical="center"/>
      <protection/>
    </xf>
    <xf numFmtId="4" fontId="9" fillId="0" borderId="18" xfId="0" applyNumberFormat="1" applyFont="1" applyBorder="1" applyAlignment="1" applyProtection="1" quotePrefix="1">
      <alignment vertical="center"/>
      <protection/>
    </xf>
    <xf numFmtId="0" fontId="9" fillId="0" borderId="0" xfId="0" applyFont="1" applyAlignment="1" applyProtection="1">
      <alignment vertical="center"/>
      <protection/>
    </xf>
    <xf numFmtId="4" fontId="10" fillId="35" borderId="17" xfId="0" applyNumberFormat="1" applyFont="1" applyFill="1" applyBorder="1" applyAlignment="1" applyProtection="1">
      <alignment vertical="center"/>
      <protection/>
    </xf>
    <xf numFmtId="4" fontId="10" fillId="36" borderId="19" xfId="0" applyNumberFormat="1" applyFont="1" applyFill="1" applyBorder="1" applyAlignment="1" applyProtection="1">
      <alignment vertical="center"/>
      <protection/>
    </xf>
    <xf numFmtId="4" fontId="4" fillId="37" borderId="15" xfId="0" applyNumberFormat="1" applyFont="1" applyFill="1" applyBorder="1" applyAlignment="1" applyProtection="1" quotePrefix="1">
      <alignment vertical="center"/>
      <protection/>
    </xf>
    <xf numFmtId="4" fontId="0" fillId="37" borderId="16" xfId="0" applyNumberFormat="1" applyFont="1" applyFill="1" applyBorder="1" applyAlignment="1" applyProtection="1" quotePrefix="1">
      <alignment vertical="center"/>
      <protection/>
    </xf>
    <xf numFmtId="4" fontId="0" fillId="37" borderId="16" xfId="0" applyNumberFormat="1" applyFill="1" applyBorder="1" applyAlignment="1" applyProtection="1" quotePrefix="1">
      <alignment vertical="center"/>
      <protection/>
    </xf>
    <xf numFmtId="0" fontId="4" fillId="0" borderId="15" xfId="0" applyFont="1" applyBorder="1" applyAlignment="1" applyProtection="1" quotePrefix="1">
      <alignment horizontal="center" vertical="center"/>
      <protection/>
    </xf>
    <xf numFmtId="0" fontId="4" fillId="0" borderId="20" xfId="0" applyFont="1" applyBorder="1" applyAlignment="1" applyProtection="1" quotePrefix="1">
      <alignment horizontal="center" vertical="center"/>
      <protection/>
    </xf>
    <xf numFmtId="4" fontId="4" fillId="0" borderId="11" xfId="0" applyNumberFormat="1" applyFont="1" applyBorder="1" applyAlignment="1" applyProtection="1" quotePrefix="1">
      <alignment horizontal="center" vertical="center"/>
      <protection/>
    </xf>
    <xf numFmtId="4" fontId="4" fillId="0" borderId="0" xfId="0" applyNumberFormat="1" applyFont="1" applyBorder="1" applyAlignment="1" applyProtection="1" quotePrefix="1">
      <alignment horizontal="center" vertical="center"/>
      <protection/>
    </xf>
    <xf numFmtId="0" fontId="9" fillId="0" borderId="18" xfId="0" applyFont="1" applyBorder="1" applyAlignment="1" applyProtection="1">
      <alignment horizontal="center" vertical="center"/>
      <protection/>
    </xf>
    <xf numFmtId="0" fontId="9" fillId="0" borderId="21" xfId="0" applyFont="1" applyBorder="1" applyAlignment="1" applyProtection="1" quotePrefix="1">
      <alignment horizontal="center" vertical="center"/>
      <protection/>
    </xf>
    <xf numFmtId="4" fontId="9" fillId="0" borderId="22" xfId="0" applyNumberFormat="1" applyFont="1" applyBorder="1" applyAlignment="1" applyProtection="1" quotePrefix="1">
      <alignment horizontal="center" vertical="center"/>
      <protection/>
    </xf>
    <xf numFmtId="4" fontId="9" fillId="0" borderId="17" xfId="0" applyNumberFormat="1" applyFont="1" applyBorder="1" applyAlignment="1" applyProtection="1" quotePrefix="1">
      <alignment horizontal="center" vertical="center"/>
      <protection/>
    </xf>
    <xf numFmtId="4" fontId="9" fillId="0" borderId="19" xfId="0" applyNumberFormat="1" applyFont="1" applyBorder="1" applyAlignment="1" applyProtection="1" quotePrefix="1">
      <alignment horizontal="center" vertical="center"/>
      <protection/>
    </xf>
    <xf numFmtId="0" fontId="2" fillId="0" borderId="0" xfId="0" applyFont="1" applyAlignment="1" applyProtection="1" quotePrefix="1">
      <alignment horizontal="left" vertical="top" wrapText="1"/>
      <protection/>
    </xf>
    <xf numFmtId="0" fontId="2" fillId="0" borderId="0" xfId="0" applyFont="1" applyAlignment="1" applyProtection="1">
      <alignment horizontal="left" vertical="top"/>
      <protection/>
    </xf>
    <xf numFmtId="0" fontId="0" fillId="0" borderId="13" xfId="0" applyBorder="1" applyAlignment="1" applyProtection="1" quotePrefix="1">
      <alignment horizontal="left" vertical="top" wrapText="1"/>
      <protection/>
    </xf>
    <xf numFmtId="0" fontId="0" fillId="0" borderId="0" xfId="0" applyBorder="1" applyAlignment="1" applyProtection="1" quotePrefix="1">
      <alignment horizontal="left" vertical="top" wrapText="1"/>
      <protection/>
    </xf>
    <xf numFmtId="0" fontId="2" fillId="0" borderId="15" xfId="0" applyFont="1" applyBorder="1" applyAlignment="1" applyProtection="1">
      <alignment horizontal="left" vertical="center"/>
      <protection/>
    </xf>
    <xf numFmtId="4" fontId="4" fillId="0" borderId="15" xfId="0" applyNumberFormat="1" applyFont="1" applyBorder="1" applyAlignment="1" applyProtection="1" quotePrefix="1">
      <alignment horizontal="center" vertical="center"/>
      <protection/>
    </xf>
    <xf numFmtId="4" fontId="4" fillId="0" borderId="16" xfId="0" applyNumberFormat="1" applyFont="1" applyBorder="1" applyAlignment="1" applyProtection="1" quotePrefix="1">
      <alignment horizontal="center" vertical="center"/>
      <protection/>
    </xf>
    <xf numFmtId="4" fontId="0" fillId="0" borderId="11" xfId="0" applyNumberFormat="1" applyBorder="1" applyAlignment="1" applyProtection="1" quotePrefix="1">
      <alignment horizontal="center" vertical="center"/>
      <protection/>
    </xf>
    <xf numFmtId="4" fontId="0" fillId="0" borderId="0" xfId="0" applyNumberFormat="1" applyBorder="1" applyAlignment="1" applyProtection="1" quotePrefix="1">
      <alignment horizontal="center" vertical="center"/>
      <protection/>
    </xf>
    <xf numFmtId="0" fontId="2" fillId="35" borderId="12" xfId="0" applyFont="1" applyFill="1" applyBorder="1" applyAlignment="1" applyProtection="1">
      <alignment horizontal="center" vertical="center"/>
      <protection/>
    </xf>
    <xf numFmtId="0" fontId="2" fillId="35" borderId="13" xfId="0" applyFont="1" applyFill="1" applyBorder="1" applyAlignment="1" applyProtection="1">
      <alignment horizontal="center" vertical="center"/>
      <protection/>
    </xf>
    <xf numFmtId="0" fontId="2" fillId="35" borderId="14" xfId="0" applyFont="1" applyFill="1" applyBorder="1" applyAlignment="1" applyProtection="1">
      <alignment horizontal="center" vertical="center"/>
      <protection/>
    </xf>
    <xf numFmtId="0" fontId="2" fillId="36" borderId="12" xfId="0" applyFont="1" applyFill="1" applyBorder="1" applyAlignment="1" applyProtection="1" quotePrefix="1">
      <alignment horizontal="center" vertical="center"/>
      <protection/>
    </xf>
    <xf numFmtId="0" fontId="2" fillId="36" borderId="13" xfId="0" applyFont="1" applyFill="1" applyBorder="1" applyAlignment="1" applyProtection="1">
      <alignment horizontal="center" vertical="center"/>
      <protection/>
    </xf>
    <xf numFmtId="0" fontId="2" fillId="36" borderId="14" xfId="0" applyFont="1" applyFill="1" applyBorder="1" applyAlignment="1" applyProtection="1">
      <alignment horizontal="center" vertical="center"/>
      <protection/>
    </xf>
    <xf numFmtId="0" fontId="2" fillId="0" borderId="23" xfId="0" applyFont="1" applyBorder="1" applyAlignment="1" applyProtection="1">
      <alignment horizontal="left" vertical="center"/>
      <protection/>
    </xf>
    <xf numFmtId="0" fontId="2" fillId="0" borderId="24" xfId="0" applyFont="1" applyBorder="1" applyAlignment="1" applyProtection="1">
      <alignment horizontal="left" vertical="center"/>
      <protection/>
    </xf>
    <xf numFmtId="0" fontId="0" fillId="0" borderId="25" xfId="0" applyBorder="1" applyAlignment="1" applyProtection="1">
      <alignment horizontal="center" vertical="center"/>
      <protection/>
    </xf>
    <xf numFmtId="0" fontId="0" fillId="0" borderId="24" xfId="0"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20" xfId="0"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26" xfId="0" applyBorder="1" applyAlignment="1" applyProtection="1">
      <alignment horizontal="center" vertical="center"/>
      <protection/>
    </xf>
    <xf numFmtId="0" fontId="0" fillId="0" borderId="11" xfId="0"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15" xfId="0" applyBorder="1" applyAlignment="1" applyProtection="1">
      <alignment horizontal="center"/>
      <protection/>
    </xf>
    <xf numFmtId="0" fontId="0" fillId="0" borderId="0" xfId="0" applyBorder="1" applyAlignment="1" applyProtection="1">
      <alignment horizontal="center"/>
      <protection/>
    </xf>
    <xf numFmtId="0" fontId="0" fillId="0" borderId="16" xfId="0" applyBorder="1" applyAlignment="1" applyProtection="1">
      <alignment horizontal="center"/>
      <protection/>
    </xf>
    <xf numFmtId="0" fontId="2" fillId="0" borderId="20" xfId="0" applyFont="1" applyBorder="1" applyAlignment="1" applyProtection="1">
      <alignment horizontal="left" vertical="center"/>
      <protection/>
    </xf>
    <xf numFmtId="0" fontId="2" fillId="0" borderId="15" xfId="0" applyFont="1" applyBorder="1" applyAlignment="1" applyProtection="1">
      <alignment horizontal="left" vertical="center" wrapText="1"/>
      <protection/>
    </xf>
    <xf numFmtId="0" fontId="0" fillId="0" borderId="13" xfId="0" applyFont="1" applyBorder="1" applyAlignment="1" applyProtection="1" quotePrefix="1">
      <alignment horizontal="left" vertical="top" wrapText="1"/>
      <protection/>
    </xf>
    <xf numFmtId="0" fontId="0" fillId="0" borderId="0" xfId="0" applyFont="1" applyBorder="1" applyAlignment="1" applyProtection="1" quotePrefix="1">
      <alignment horizontal="left" vertical="top" wrapText="1"/>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O29"/>
  <sheetViews>
    <sheetView tabSelected="1" zoomScalePageLayoutView="0" workbookViewId="0" topLeftCell="A1">
      <selection activeCell="C5" sqref="C5"/>
    </sheetView>
  </sheetViews>
  <sheetFormatPr defaultColWidth="11.421875" defaultRowHeight="12.75"/>
  <cols>
    <col min="1" max="1" width="23.140625" style="35" customWidth="1"/>
    <col min="2" max="2" width="8.7109375" style="36" customWidth="1"/>
    <col min="3" max="3" width="11.00390625" style="35" customWidth="1"/>
    <col min="4" max="4" width="6.8515625" style="35" customWidth="1"/>
    <col min="5" max="5" width="9.421875" style="35" customWidth="1"/>
    <col min="6" max="6" width="7.140625" style="35" customWidth="1"/>
    <col min="7" max="7" width="9.421875" style="35" customWidth="1"/>
    <col min="8" max="8" width="9.8515625" style="35" customWidth="1"/>
    <col min="9" max="10" width="9.7109375" style="35" customWidth="1"/>
    <col min="11" max="12" width="10.28125" style="35" customWidth="1"/>
    <col min="13" max="13" width="9.8515625" style="35" customWidth="1"/>
    <col min="14" max="15" width="9.7109375" style="35" customWidth="1"/>
    <col min="16" max="16384" width="11.421875" style="35" customWidth="1"/>
  </cols>
  <sheetData>
    <row r="1" spans="1:15" s="7" customFormat="1" ht="21" customHeight="1">
      <c r="A1" s="3"/>
      <c r="B1" s="4"/>
      <c r="C1" s="5" t="s">
        <v>19</v>
      </c>
      <c r="D1" s="5"/>
      <c r="E1" s="5"/>
      <c r="F1" s="5"/>
      <c r="G1" s="6"/>
      <c r="H1" s="69" t="s">
        <v>15</v>
      </c>
      <c r="I1" s="70"/>
      <c r="J1" s="70"/>
      <c r="K1" s="70"/>
      <c r="L1" s="71"/>
      <c r="M1" s="72" t="s">
        <v>20</v>
      </c>
      <c r="N1" s="73"/>
      <c r="O1" s="74"/>
    </row>
    <row r="2" spans="1:15" s="18" customFormat="1" ht="23.25" customHeight="1">
      <c r="A2" s="8" t="s">
        <v>21</v>
      </c>
      <c r="B2" s="9"/>
      <c r="C2" s="9" t="s">
        <v>3</v>
      </c>
      <c r="D2" s="10" t="s">
        <v>0</v>
      </c>
      <c r="E2" s="9" t="s">
        <v>9</v>
      </c>
      <c r="F2" s="10" t="s">
        <v>1</v>
      </c>
      <c r="G2" s="11" t="s">
        <v>10</v>
      </c>
      <c r="H2" s="12" t="s">
        <v>13</v>
      </c>
      <c r="I2" s="13" t="s">
        <v>12</v>
      </c>
      <c r="J2" s="13" t="s">
        <v>14</v>
      </c>
      <c r="K2" s="13" t="s">
        <v>17</v>
      </c>
      <c r="L2" s="14" t="s">
        <v>16</v>
      </c>
      <c r="M2" s="15" t="s">
        <v>18</v>
      </c>
      <c r="N2" s="16" t="s">
        <v>31</v>
      </c>
      <c r="O2" s="17" t="s">
        <v>14</v>
      </c>
    </row>
    <row r="3" spans="1:15" s="7" customFormat="1" ht="18" customHeight="1">
      <c r="A3" s="75" t="s">
        <v>2</v>
      </c>
      <c r="B3" s="76"/>
      <c r="C3" s="1">
        <v>152000</v>
      </c>
      <c r="D3" s="77"/>
      <c r="E3" s="78"/>
      <c r="F3" s="81"/>
      <c r="G3" s="82"/>
      <c r="H3" s="85"/>
      <c r="I3" s="86"/>
      <c r="J3" s="86"/>
      <c r="K3" s="86"/>
      <c r="L3" s="87"/>
      <c r="M3" s="85"/>
      <c r="N3" s="86"/>
      <c r="O3" s="87"/>
    </row>
    <row r="4" spans="1:15" s="7" customFormat="1" ht="18" customHeight="1">
      <c r="A4" s="64" t="s">
        <v>43</v>
      </c>
      <c r="B4" s="88"/>
      <c r="C4" s="2"/>
      <c r="D4" s="79"/>
      <c r="E4" s="80"/>
      <c r="F4" s="83"/>
      <c r="G4" s="84"/>
      <c r="H4" s="85"/>
      <c r="I4" s="86"/>
      <c r="J4" s="86"/>
      <c r="K4" s="86"/>
      <c r="L4" s="87"/>
      <c r="M4" s="85"/>
      <c r="N4" s="86"/>
      <c r="O4" s="87"/>
    </row>
    <row r="5" spans="1:15" s="7" customFormat="1" ht="18" customHeight="1">
      <c r="A5" s="64" t="s">
        <v>48</v>
      </c>
      <c r="B5" s="88"/>
      <c r="C5" s="2">
        <v>43992</v>
      </c>
      <c r="D5" s="79"/>
      <c r="E5" s="80"/>
      <c r="F5" s="83"/>
      <c r="G5" s="84"/>
      <c r="H5" s="85"/>
      <c r="I5" s="86"/>
      <c r="J5" s="86"/>
      <c r="K5" s="86"/>
      <c r="L5" s="87"/>
      <c r="M5" s="85"/>
      <c r="N5" s="86"/>
      <c r="O5" s="87"/>
    </row>
    <row r="6" spans="1:15" s="7" customFormat="1" ht="15" customHeight="1">
      <c r="A6" s="89" t="s">
        <v>44</v>
      </c>
      <c r="B6" s="19" t="s">
        <v>5</v>
      </c>
      <c r="C6" s="20">
        <f>IF(Salaire_brut&gt;Plafond_SS,Plafond_SS,Salaire_brut)</f>
        <v>43992</v>
      </c>
      <c r="D6" s="39"/>
      <c r="E6" s="21">
        <f>ROUND(C6*D6/100,2)</f>
        <v>0</v>
      </c>
      <c r="F6" s="40"/>
      <c r="G6" s="22">
        <f>ROUND(C6*F6/100,2)</f>
        <v>0</v>
      </c>
      <c r="H6" s="85"/>
      <c r="I6" s="86"/>
      <c r="J6" s="86"/>
      <c r="K6" s="86"/>
      <c r="L6" s="87"/>
      <c r="M6" s="85"/>
      <c r="N6" s="86"/>
      <c r="O6" s="87"/>
    </row>
    <row r="7" spans="1:15" s="7" customFormat="1" ht="15" customHeight="1">
      <c r="A7" s="64"/>
      <c r="B7" s="19" t="s">
        <v>6</v>
      </c>
      <c r="C7" s="20">
        <f>IF(Salaire_brut&gt;Plafond_SS,MIN(Salaire_brut-Plafond_SS,Plafond_SS*3),0)</f>
        <v>108008</v>
      </c>
      <c r="D7" s="39">
        <v>4</v>
      </c>
      <c r="E7" s="21">
        <f>ROUND(C7*D7/100,2)</f>
        <v>4320.32</v>
      </c>
      <c r="F7" s="40">
        <v>8</v>
      </c>
      <c r="G7" s="22">
        <f>ROUND(C7*F7/100,2)</f>
        <v>8640.64</v>
      </c>
      <c r="H7" s="85"/>
      <c r="I7" s="86"/>
      <c r="J7" s="86"/>
      <c r="K7" s="86"/>
      <c r="L7" s="87"/>
      <c r="M7" s="85"/>
      <c r="N7" s="86"/>
      <c r="O7" s="87"/>
    </row>
    <row r="8" spans="1:15" s="7" customFormat="1" ht="15" customHeight="1">
      <c r="A8" s="64"/>
      <c r="B8" s="19" t="s">
        <v>7</v>
      </c>
      <c r="C8" s="20">
        <f>IF(Salaire_brut&gt;Plafond_SS*4,Salaire_brut-Plafond_SS*4,0)</f>
        <v>0</v>
      </c>
      <c r="D8" s="39">
        <v>4</v>
      </c>
      <c r="E8" s="21">
        <f>ROUND(C8*D8/100,2)</f>
        <v>0</v>
      </c>
      <c r="F8" s="40">
        <v>8</v>
      </c>
      <c r="G8" s="22">
        <f>ROUND(C8*F8/100,2)</f>
        <v>0</v>
      </c>
      <c r="H8" s="85"/>
      <c r="I8" s="86"/>
      <c r="J8" s="86"/>
      <c r="K8" s="86"/>
      <c r="L8" s="87"/>
      <c r="M8" s="85"/>
      <c r="N8" s="86"/>
      <c r="O8" s="87"/>
    </row>
    <row r="9" spans="1:15" s="33" customFormat="1" ht="15" customHeight="1">
      <c r="A9" s="64"/>
      <c r="B9" s="23" t="s">
        <v>8</v>
      </c>
      <c r="C9" s="53"/>
      <c r="D9" s="54"/>
      <c r="E9" s="24">
        <f>SUM(E6:E8)</f>
        <v>4320.32</v>
      </c>
      <c r="F9" s="25"/>
      <c r="G9" s="26">
        <f>SUM(G6:G8)</f>
        <v>8640.64</v>
      </c>
      <c r="H9" s="27">
        <f>E9+G9</f>
        <v>12960.96</v>
      </c>
      <c r="I9" s="28">
        <f>ROUND(MAX(MIN(8%*Salaire_brut,Plafond_SS*8*8%)-AbondPERCO,0),0)</f>
        <v>12160</v>
      </c>
      <c r="J9" s="29">
        <f>MAX(0,H9-I9)</f>
        <v>800.9599999999991</v>
      </c>
      <c r="K9" s="30">
        <f>IF(H9=0,0,ROUND(J9*E9/H9,2))</f>
        <v>266.99</v>
      </c>
      <c r="L9" s="31">
        <f>J9-K9</f>
        <v>533.9699999999991</v>
      </c>
      <c r="M9" s="27">
        <f>G9</f>
        <v>8640.64</v>
      </c>
      <c r="N9" s="28">
        <f>ROUND(MAX(MAX((Plafond_SS*5%),MIN(Salaire_brut,Plafond_SS*5)*5%)-AbondPERCO,0),2)</f>
        <v>7600</v>
      </c>
      <c r="O9" s="32">
        <f>MAX(0,M9-N9)</f>
        <v>1040.6399999999994</v>
      </c>
    </row>
    <row r="10" spans="1:15" s="7" customFormat="1" ht="15" customHeight="1">
      <c r="A10" s="64" t="s">
        <v>11</v>
      </c>
      <c r="B10" s="19" t="s">
        <v>5</v>
      </c>
      <c r="C10" s="20">
        <f>IF(Salaire_brut&gt;Plafond_SS,Plafond_SS,Salaire_brut)</f>
        <v>43992</v>
      </c>
      <c r="D10" s="39">
        <v>0.97</v>
      </c>
      <c r="E10" s="21">
        <f aca="true" t="shared" si="0" ref="E10:E15">ROUND(C10*D10/100,2)</f>
        <v>426.72</v>
      </c>
      <c r="F10" s="40">
        <v>1.95</v>
      </c>
      <c r="G10" s="22">
        <f aca="true" t="shared" si="1" ref="G10:G15">ROUND(C10*F10/100,2)</f>
        <v>857.84</v>
      </c>
      <c r="H10" s="65"/>
      <c r="I10" s="54"/>
      <c r="J10" s="54"/>
      <c r="K10" s="54"/>
      <c r="L10" s="66"/>
      <c r="M10" s="65"/>
      <c r="N10" s="54"/>
      <c r="O10" s="66"/>
    </row>
    <row r="11" spans="1:15" s="7" customFormat="1" ht="15" customHeight="1">
      <c r="A11" s="64"/>
      <c r="B11" s="19" t="s">
        <v>6</v>
      </c>
      <c r="C11" s="20">
        <f>IF(Salaire_brut&gt;Plafond_SS,MIN(Salaire_brut-Plafond_SS,Plafond_SS*3),0)</f>
        <v>108008</v>
      </c>
      <c r="D11" s="39">
        <v>2.23</v>
      </c>
      <c r="E11" s="21">
        <f t="shared" si="0"/>
        <v>2408.58</v>
      </c>
      <c r="F11" s="40">
        <v>2.23</v>
      </c>
      <c r="G11" s="22">
        <f t="shared" si="1"/>
        <v>2408.58</v>
      </c>
      <c r="H11" s="65"/>
      <c r="I11" s="54"/>
      <c r="J11" s="54"/>
      <c r="K11" s="54"/>
      <c r="L11" s="66"/>
      <c r="M11" s="65"/>
      <c r="N11" s="54"/>
      <c r="O11" s="66"/>
    </row>
    <row r="12" spans="1:15" s="7" customFormat="1" ht="15" customHeight="1">
      <c r="A12" s="64"/>
      <c r="B12" s="19" t="s">
        <v>7</v>
      </c>
      <c r="C12" s="20">
        <f>IF(Salaire_brut&gt;Plafond_SS*4,Salaire_brut-Plafond_SS*4,0)</f>
        <v>0</v>
      </c>
      <c r="D12" s="39">
        <v>2.23</v>
      </c>
      <c r="E12" s="21">
        <f t="shared" si="0"/>
        <v>0</v>
      </c>
      <c r="F12" s="40">
        <v>2.23</v>
      </c>
      <c r="G12" s="22">
        <f t="shared" si="1"/>
        <v>0</v>
      </c>
      <c r="H12" s="65"/>
      <c r="I12" s="54"/>
      <c r="J12" s="54"/>
      <c r="K12" s="54"/>
      <c r="L12" s="66"/>
      <c r="M12" s="65"/>
      <c r="N12" s="54"/>
      <c r="O12" s="66"/>
    </row>
    <row r="13" spans="1:15" s="7" customFormat="1" ht="15" customHeight="1">
      <c r="A13" s="64" t="s">
        <v>22</v>
      </c>
      <c r="B13" s="19" t="s">
        <v>5</v>
      </c>
      <c r="C13" s="20">
        <f>IF(Salaire_brut&gt;Plafond_SS,Plafond_SS,Salaire_brut)</f>
        <v>43992</v>
      </c>
      <c r="D13" s="39">
        <v>1.207</v>
      </c>
      <c r="E13" s="21">
        <f t="shared" si="0"/>
        <v>530.98</v>
      </c>
      <c r="F13" s="40">
        <v>3.623</v>
      </c>
      <c r="G13" s="49">
        <f t="shared" si="1"/>
        <v>1593.83</v>
      </c>
      <c r="H13" s="65"/>
      <c r="I13" s="54"/>
      <c r="J13" s="54"/>
      <c r="K13" s="54"/>
      <c r="L13" s="66"/>
      <c r="M13" s="65"/>
      <c r="N13" s="54"/>
      <c r="O13" s="66"/>
    </row>
    <row r="14" spans="1:15" s="7" customFormat="1" ht="15" customHeight="1">
      <c r="A14" s="64"/>
      <c r="B14" s="19" t="s">
        <v>6</v>
      </c>
      <c r="C14" s="20">
        <f>IF(Salaire_brut&gt;Plafond_SS,MIN(Salaire_brut-Plafond_SS,Plafond_SS*3),0)</f>
        <v>108008</v>
      </c>
      <c r="D14" s="39"/>
      <c r="E14" s="21">
        <f t="shared" si="0"/>
        <v>0</v>
      </c>
      <c r="F14" s="40"/>
      <c r="G14" s="50">
        <f t="shared" si="1"/>
        <v>0</v>
      </c>
      <c r="H14" s="65"/>
      <c r="I14" s="54"/>
      <c r="J14" s="54"/>
      <c r="K14" s="54"/>
      <c r="L14" s="66"/>
      <c r="M14" s="65"/>
      <c r="N14" s="54"/>
      <c r="O14" s="66"/>
    </row>
    <row r="15" spans="1:15" s="7" customFormat="1" ht="15" customHeight="1">
      <c r="A15" s="64"/>
      <c r="B15" s="19" t="s">
        <v>7</v>
      </c>
      <c r="C15" s="20">
        <f>IF(Salaire_brut&gt;Plafond_SS*4,Salaire_brut-Plafond_SS*4,0)</f>
        <v>0</v>
      </c>
      <c r="D15" s="39"/>
      <c r="E15" s="21">
        <f t="shared" si="0"/>
        <v>0</v>
      </c>
      <c r="F15" s="40"/>
      <c r="G15" s="50">
        <f t="shared" si="1"/>
        <v>0</v>
      </c>
      <c r="H15" s="65"/>
      <c r="I15" s="54"/>
      <c r="J15" s="54"/>
      <c r="K15" s="54"/>
      <c r="L15" s="66"/>
      <c r="M15" s="65"/>
      <c r="N15" s="54"/>
      <c r="O15" s="66"/>
    </row>
    <row r="16" spans="1:15" s="7" customFormat="1" ht="15" customHeight="1">
      <c r="A16" s="64"/>
      <c r="B16" s="19" t="s">
        <v>23</v>
      </c>
      <c r="C16" s="67"/>
      <c r="D16" s="68"/>
      <c r="E16" s="37"/>
      <c r="F16" s="34"/>
      <c r="G16" s="38"/>
      <c r="H16" s="65"/>
      <c r="I16" s="54"/>
      <c r="J16" s="54"/>
      <c r="K16" s="54"/>
      <c r="L16" s="66"/>
      <c r="M16" s="65"/>
      <c r="N16" s="54"/>
      <c r="O16" s="66"/>
    </row>
    <row r="17" spans="1:15" s="33" customFormat="1" ht="18" customHeight="1">
      <c r="A17" s="51" t="s">
        <v>24</v>
      </c>
      <c r="B17" s="52"/>
      <c r="C17" s="53"/>
      <c r="D17" s="54"/>
      <c r="E17" s="24">
        <f>SUM(E10:E16)</f>
        <v>3366.28</v>
      </c>
      <c r="F17" s="41"/>
      <c r="G17" s="26">
        <f>SUM(G10:G16)</f>
        <v>4860.25</v>
      </c>
      <c r="H17" s="48">
        <f>E17+G17-SUM(G13:G16)</f>
        <v>6632.700000000001</v>
      </c>
      <c r="I17" s="28">
        <f>ROUND(MIN((5%*Plafond_SS)+(2%*(Salaire_brut+SUM(G13:G16))),2%*8*Plafond_SS),0)</f>
        <v>5271</v>
      </c>
      <c r="J17" s="29">
        <f>MAX(0,H17-I17)</f>
        <v>1361.7000000000007</v>
      </c>
      <c r="K17" s="30">
        <f>IF(H17=0,0,ROUND(J17*E17/H17,2))</f>
        <v>691.1</v>
      </c>
      <c r="L17" s="31">
        <f>J17-K17</f>
        <v>670.6000000000007</v>
      </c>
      <c r="M17" s="27">
        <f>G17</f>
        <v>4860.25</v>
      </c>
      <c r="N17" s="28">
        <f>ROUND(MIN((6%*Plafond_SS)+(1.5%*Salaire_brut),12%*Plafond_SS),2)</f>
        <v>4919.52</v>
      </c>
      <c r="O17" s="32">
        <f>MAX(0,M17-N17)</f>
        <v>0</v>
      </c>
    </row>
    <row r="18" spans="1:15" s="45" customFormat="1" ht="18" customHeight="1" thickBot="1">
      <c r="A18" s="55" t="s">
        <v>26</v>
      </c>
      <c r="B18" s="56"/>
      <c r="C18" s="57"/>
      <c r="D18" s="58"/>
      <c r="E18" s="58"/>
      <c r="F18" s="58"/>
      <c r="G18" s="59"/>
      <c r="H18" s="44"/>
      <c r="I18" s="42"/>
      <c r="J18" s="43"/>
      <c r="K18" s="46">
        <f>K9+K17</f>
        <v>958.09</v>
      </c>
      <c r="L18" s="46">
        <f>L9+L17</f>
        <v>1204.5699999999997</v>
      </c>
      <c r="M18" s="44"/>
      <c r="N18" s="42"/>
      <c r="O18" s="47">
        <f>O9+O17</f>
        <v>1040.6399999999994</v>
      </c>
    </row>
    <row r="19" spans="1:15" ht="16.5" customHeight="1">
      <c r="A19" s="60" t="s">
        <v>25</v>
      </c>
      <c r="B19" s="62" t="s">
        <v>45</v>
      </c>
      <c r="C19" s="62"/>
      <c r="D19" s="62"/>
      <c r="E19" s="62"/>
      <c r="F19" s="62"/>
      <c r="G19" s="62"/>
      <c r="H19" s="62"/>
      <c r="I19" s="62"/>
      <c r="J19" s="62"/>
      <c r="K19" s="62"/>
      <c r="L19" s="62"/>
      <c r="M19" s="62"/>
      <c r="N19" s="62"/>
      <c r="O19" s="62"/>
    </row>
    <row r="20" spans="1:15" ht="16.5" customHeight="1">
      <c r="A20" s="61"/>
      <c r="B20" s="63"/>
      <c r="C20" s="63"/>
      <c r="D20" s="63"/>
      <c r="E20" s="63"/>
      <c r="F20" s="63"/>
      <c r="G20" s="63"/>
      <c r="H20" s="63"/>
      <c r="I20" s="63"/>
      <c r="J20" s="63"/>
      <c r="K20" s="63"/>
      <c r="L20" s="63"/>
      <c r="M20" s="63"/>
      <c r="N20" s="63"/>
      <c r="O20" s="63"/>
    </row>
    <row r="21" spans="1:15" ht="16.5" customHeight="1">
      <c r="A21" s="61"/>
      <c r="B21" s="63"/>
      <c r="C21" s="63"/>
      <c r="D21" s="63"/>
      <c r="E21" s="63"/>
      <c r="F21" s="63"/>
      <c r="G21" s="63"/>
      <c r="H21" s="63"/>
      <c r="I21" s="63"/>
      <c r="J21" s="63"/>
      <c r="K21" s="63"/>
      <c r="L21" s="63"/>
      <c r="M21" s="63"/>
      <c r="N21" s="63"/>
      <c r="O21" s="63"/>
    </row>
    <row r="22" spans="1:15" ht="16.5" customHeight="1">
      <c r="A22" s="61"/>
      <c r="B22" s="63"/>
      <c r="C22" s="63"/>
      <c r="D22" s="63"/>
      <c r="E22" s="63"/>
      <c r="F22" s="63"/>
      <c r="G22" s="63"/>
      <c r="H22" s="63"/>
      <c r="I22" s="63"/>
      <c r="J22" s="63"/>
      <c r="K22" s="63"/>
      <c r="L22" s="63"/>
      <c r="M22" s="63"/>
      <c r="N22" s="63"/>
      <c r="O22" s="63"/>
    </row>
    <row r="23" spans="1:15" ht="16.5" customHeight="1">
      <c r="A23" s="61"/>
      <c r="B23" s="63"/>
      <c r="C23" s="63"/>
      <c r="D23" s="63"/>
      <c r="E23" s="63"/>
      <c r="F23" s="63"/>
      <c r="G23" s="63"/>
      <c r="H23" s="63"/>
      <c r="I23" s="63"/>
      <c r="J23" s="63"/>
      <c r="K23" s="63"/>
      <c r="L23" s="63"/>
      <c r="M23" s="63"/>
      <c r="N23" s="63"/>
      <c r="O23" s="63"/>
    </row>
    <row r="24" spans="1:15" ht="16.5" customHeight="1">
      <c r="A24" s="61"/>
      <c r="B24" s="63"/>
      <c r="C24" s="63"/>
      <c r="D24" s="63"/>
      <c r="E24" s="63"/>
      <c r="F24" s="63"/>
      <c r="G24" s="63"/>
      <c r="H24" s="63"/>
      <c r="I24" s="63"/>
      <c r="J24" s="63"/>
      <c r="K24" s="63"/>
      <c r="L24" s="63"/>
      <c r="M24" s="63"/>
      <c r="N24" s="63"/>
      <c r="O24" s="63"/>
    </row>
    <row r="25" spans="1:15" ht="16.5" customHeight="1">
      <c r="A25" s="61"/>
      <c r="B25" s="63"/>
      <c r="C25" s="63"/>
      <c r="D25" s="63"/>
      <c r="E25" s="63"/>
      <c r="F25" s="63"/>
      <c r="G25" s="63"/>
      <c r="H25" s="63"/>
      <c r="I25" s="63"/>
      <c r="J25" s="63"/>
      <c r="K25" s="63"/>
      <c r="L25" s="63"/>
      <c r="M25" s="63"/>
      <c r="N25" s="63"/>
      <c r="O25" s="63"/>
    </row>
    <row r="26" spans="1:15" ht="16.5" customHeight="1">
      <c r="A26" s="61"/>
      <c r="B26" s="63"/>
      <c r="C26" s="63"/>
      <c r="D26" s="63"/>
      <c r="E26" s="63"/>
      <c r="F26" s="63"/>
      <c r="G26" s="63"/>
      <c r="H26" s="63"/>
      <c r="I26" s="63"/>
      <c r="J26" s="63"/>
      <c r="K26" s="63"/>
      <c r="L26" s="63"/>
      <c r="M26" s="63"/>
      <c r="N26" s="63"/>
      <c r="O26" s="63"/>
    </row>
    <row r="27" spans="1:15" ht="16.5" customHeight="1">
      <c r="A27" s="61"/>
      <c r="B27" s="63"/>
      <c r="C27" s="63"/>
      <c r="D27" s="63"/>
      <c r="E27" s="63"/>
      <c r="F27" s="63"/>
      <c r="G27" s="63"/>
      <c r="H27" s="63"/>
      <c r="I27" s="63"/>
      <c r="J27" s="63"/>
      <c r="K27" s="63"/>
      <c r="L27" s="63"/>
      <c r="M27" s="63"/>
      <c r="N27" s="63"/>
      <c r="O27" s="63"/>
    </row>
    <row r="28" spans="1:15" ht="16.5" customHeight="1">
      <c r="A28" s="61"/>
      <c r="B28" s="63"/>
      <c r="C28" s="63"/>
      <c r="D28" s="63"/>
      <c r="E28" s="63"/>
      <c r="F28" s="63"/>
      <c r="G28" s="63"/>
      <c r="H28" s="63"/>
      <c r="I28" s="63"/>
      <c r="J28" s="63"/>
      <c r="K28" s="63"/>
      <c r="L28" s="63"/>
      <c r="M28" s="63"/>
      <c r="N28" s="63"/>
      <c r="O28" s="63"/>
    </row>
    <row r="29" spans="1:15" ht="16.5" customHeight="1">
      <c r="A29" s="61"/>
      <c r="B29" s="63"/>
      <c r="C29" s="63"/>
      <c r="D29" s="63"/>
      <c r="E29" s="63"/>
      <c r="F29" s="63"/>
      <c r="G29" s="63"/>
      <c r="H29" s="63"/>
      <c r="I29" s="63"/>
      <c r="J29" s="63"/>
      <c r="K29" s="63"/>
      <c r="L29" s="63"/>
      <c r="M29" s="63"/>
      <c r="N29" s="63"/>
      <c r="O29" s="63"/>
    </row>
  </sheetData>
  <sheetProtection sheet="1" objects="1" scenarios="1"/>
  <mergeCells count="22">
    <mergeCell ref="H1:L1"/>
    <mergeCell ref="M1:O1"/>
    <mergeCell ref="A3:B3"/>
    <mergeCell ref="D3:E5"/>
    <mergeCell ref="F3:G5"/>
    <mergeCell ref="H3:L8"/>
    <mergeCell ref="M3:O8"/>
    <mergeCell ref="A4:B4"/>
    <mergeCell ref="A5:B5"/>
    <mergeCell ref="A6:A9"/>
    <mergeCell ref="C9:D9"/>
    <mergeCell ref="A10:A12"/>
    <mergeCell ref="H10:L16"/>
    <mergeCell ref="M10:O16"/>
    <mergeCell ref="A13:A16"/>
    <mergeCell ref="C16:D16"/>
    <mergeCell ref="A17:B17"/>
    <mergeCell ref="C17:D17"/>
    <mergeCell ref="A18:B18"/>
    <mergeCell ref="C18:G18"/>
    <mergeCell ref="A19:A29"/>
    <mergeCell ref="B19:O29"/>
  </mergeCells>
  <printOptions horizontalCentered="1"/>
  <pageMargins left="0.3937007874015748" right="0.3937007874015748" top="0.984251968503937" bottom="0.984251968503937" header="0.5118110236220472" footer="0.5118110236220472"/>
  <pageSetup fitToHeight="0" fitToWidth="1" horizontalDpi="300" verticalDpi="300" orientation="landscape" paperSize="9" scale="93" r:id="rId3"/>
  <headerFooter alignWithMargins="0">
    <oddHeader>&amp;C&amp;"Arial,Gras"&amp;12Retraite et Prévoyance - Réintégration des excédents</oddHeader>
  </headerFooter>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O29"/>
  <sheetViews>
    <sheetView zoomScalePageLayoutView="0" workbookViewId="0" topLeftCell="A1">
      <selection activeCell="C3" sqref="C3"/>
    </sheetView>
  </sheetViews>
  <sheetFormatPr defaultColWidth="11.421875" defaultRowHeight="12.75"/>
  <cols>
    <col min="1" max="1" width="23.140625" style="35" customWidth="1"/>
    <col min="2" max="2" width="6.140625" style="36" customWidth="1"/>
    <col min="3" max="3" width="11.00390625" style="35" customWidth="1"/>
    <col min="4" max="4" width="6.8515625" style="35" customWidth="1"/>
    <col min="5" max="5" width="9.421875" style="35" customWidth="1"/>
    <col min="6" max="6" width="7.140625" style="35" customWidth="1"/>
    <col min="7" max="7" width="9.421875" style="35" customWidth="1"/>
    <col min="8" max="8" width="9.8515625" style="35" customWidth="1"/>
    <col min="9" max="10" width="9.7109375" style="35" customWidth="1"/>
    <col min="11" max="12" width="10.28125" style="35" customWidth="1"/>
    <col min="13" max="13" width="9.8515625" style="35" customWidth="1"/>
    <col min="14" max="15" width="9.7109375" style="35" customWidth="1"/>
    <col min="16" max="16384" width="11.421875" style="35" customWidth="1"/>
  </cols>
  <sheetData>
    <row r="1" spans="1:15" s="7" customFormat="1" ht="21" customHeight="1">
      <c r="A1" s="3"/>
      <c r="B1" s="4"/>
      <c r="C1" s="5" t="s">
        <v>19</v>
      </c>
      <c r="D1" s="5"/>
      <c r="E1" s="5"/>
      <c r="F1" s="5"/>
      <c r="G1" s="6"/>
      <c r="H1" s="69" t="s">
        <v>15</v>
      </c>
      <c r="I1" s="70"/>
      <c r="J1" s="70"/>
      <c r="K1" s="70"/>
      <c r="L1" s="71"/>
      <c r="M1" s="72" t="s">
        <v>20</v>
      </c>
      <c r="N1" s="73"/>
      <c r="O1" s="74"/>
    </row>
    <row r="2" spans="1:15" s="18" customFormat="1" ht="23.25" customHeight="1">
      <c r="A2" s="8" t="s">
        <v>21</v>
      </c>
      <c r="B2" s="9"/>
      <c r="C2" s="9" t="s">
        <v>3</v>
      </c>
      <c r="D2" s="10" t="s">
        <v>0</v>
      </c>
      <c r="E2" s="9" t="s">
        <v>9</v>
      </c>
      <c r="F2" s="10" t="s">
        <v>1</v>
      </c>
      <c r="G2" s="11" t="s">
        <v>10</v>
      </c>
      <c r="H2" s="12" t="s">
        <v>13</v>
      </c>
      <c r="I2" s="13" t="s">
        <v>12</v>
      </c>
      <c r="J2" s="13" t="s">
        <v>14</v>
      </c>
      <c r="K2" s="13" t="s">
        <v>17</v>
      </c>
      <c r="L2" s="14" t="s">
        <v>16</v>
      </c>
      <c r="M2" s="15" t="s">
        <v>18</v>
      </c>
      <c r="N2" s="16" t="s">
        <v>31</v>
      </c>
      <c r="O2" s="17" t="s">
        <v>14</v>
      </c>
    </row>
    <row r="3" spans="1:15" s="7" customFormat="1" ht="18" customHeight="1">
      <c r="A3" s="75" t="s">
        <v>2</v>
      </c>
      <c r="B3" s="76"/>
      <c r="C3" s="1">
        <v>150000</v>
      </c>
      <c r="D3" s="77"/>
      <c r="E3" s="78"/>
      <c r="F3" s="81"/>
      <c r="G3" s="82"/>
      <c r="H3" s="85"/>
      <c r="I3" s="86"/>
      <c r="J3" s="86"/>
      <c r="K3" s="86"/>
      <c r="L3" s="87"/>
      <c r="M3" s="85"/>
      <c r="N3" s="86"/>
      <c r="O3" s="87"/>
    </row>
    <row r="4" spans="1:15" s="7" customFormat="1" ht="18" customHeight="1">
      <c r="A4" s="64" t="s">
        <v>28</v>
      </c>
      <c r="B4" s="88"/>
      <c r="C4" s="2"/>
      <c r="D4" s="79"/>
      <c r="E4" s="80"/>
      <c r="F4" s="83"/>
      <c r="G4" s="84"/>
      <c r="H4" s="85"/>
      <c r="I4" s="86"/>
      <c r="J4" s="86"/>
      <c r="K4" s="86"/>
      <c r="L4" s="87"/>
      <c r="M4" s="85"/>
      <c r="N4" s="86"/>
      <c r="O4" s="87"/>
    </row>
    <row r="5" spans="1:15" s="7" customFormat="1" ht="18" customHeight="1">
      <c r="A5" s="64" t="s">
        <v>34</v>
      </c>
      <c r="B5" s="88"/>
      <c r="C5" s="2">
        <v>37548</v>
      </c>
      <c r="D5" s="79"/>
      <c r="E5" s="80"/>
      <c r="F5" s="83"/>
      <c r="G5" s="84"/>
      <c r="H5" s="85"/>
      <c r="I5" s="86"/>
      <c r="J5" s="86"/>
      <c r="K5" s="86"/>
      <c r="L5" s="87"/>
      <c r="M5" s="85"/>
      <c r="N5" s="86"/>
      <c r="O5" s="87"/>
    </row>
    <row r="6" spans="1:15" s="7" customFormat="1" ht="15" customHeight="1">
      <c r="A6" s="64" t="s">
        <v>4</v>
      </c>
      <c r="B6" s="19" t="s">
        <v>5</v>
      </c>
      <c r="C6" s="20">
        <f>IF(Salaire_brut&gt;Plafond_SS,Plafond_SS,Salaire_brut)</f>
        <v>37548</v>
      </c>
      <c r="D6" s="39"/>
      <c r="E6" s="21">
        <f>ROUND(C6*D6/100,2)</f>
        <v>0</v>
      </c>
      <c r="F6" s="40"/>
      <c r="G6" s="22">
        <f>ROUND(C6*F6/100,2)</f>
        <v>0</v>
      </c>
      <c r="H6" s="85"/>
      <c r="I6" s="86"/>
      <c r="J6" s="86"/>
      <c r="K6" s="86"/>
      <c r="L6" s="87"/>
      <c r="M6" s="85"/>
      <c r="N6" s="86"/>
      <c r="O6" s="87"/>
    </row>
    <row r="7" spans="1:15" s="7" customFormat="1" ht="15" customHeight="1">
      <c r="A7" s="64"/>
      <c r="B7" s="19" t="s">
        <v>6</v>
      </c>
      <c r="C7" s="20">
        <f>IF(Salaire_brut&gt;Plafond_SS,MIN(Salaire_brut-Plafond_SS,Plafond_SS*3),0)</f>
        <v>112452</v>
      </c>
      <c r="D7" s="39">
        <v>4</v>
      </c>
      <c r="E7" s="21">
        <f>ROUND(C7*D7/100,2)</f>
        <v>4498.08</v>
      </c>
      <c r="F7" s="40">
        <v>8</v>
      </c>
      <c r="G7" s="22">
        <f>ROUND(C7*F7/100,2)</f>
        <v>8996.16</v>
      </c>
      <c r="H7" s="85"/>
      <c r="I7" s="86"/>
      <c r="J7" s="86"/>
      <c r="K7" s="86"/>
      <c r="L7" s="87"/>
      <c r="M7" s="85"/>
      <c r="N7" s="86"/>
      <c r="O7" s="87"/>
    </row>
    <row r="8" spans="1:15" s="7" customFormat="1" ht="15" customHeight="1">
      <c r="A8" s="64"/>
      <c r="B8" s="19" t="s">
        <v>7</v>
      </c>
      <c r="C8" s="20">
        <f>IF(Salaire_brut&gt;Plafond_SS*4,Salaire_brut-Plafond_SS*4,0)</f>
        <v>0</v>
      </c>
      <c r="D8" s="39">
        <v>4</v>
      </c>
      <c r="E8" s="21">
        <f>ROUND(C8*D8/100,2)</f>
        <v>0</v>
      </c>
      <c r="F8" s="40">
        <v>8</v>
      </c>
      <c r="G8" s="22">
        <f>ROUND(C8*F8/100,2)</f>
        <v>0</v>
      </c>
      <c r="H8" s="85"/>
      <c r="I8" s="86"/>
      <c r="J8" s="86"/>
      <c r="K8" s="86"/>
      <c r="L8" s="87"/>
      <c r="M8" s="85"/>
      <c r="N8" s="86"/>
      <c r="O8" s="87"/>
    </row>
    <row r="9" spans="1:15" s="33" customFormat="1" ht="15" customHeight="1">
      <c r="A9" s="64"/>
      <c r="B9" s="23" t="s">
        <v>8</v>
      </c>
      <c r="C9" s="53"/>
      <c r="D9" s="54"/>
      <c r="E9" s="24">
        <f>SUM(E6:E8)</f>
        <v>4498.08</v>
      </c>
      <c r="F9" s="25"/>
      <c r="G9" s="26">
        <f>SUM(G6:G8)</f>
        <v>8996.16</v>
      </c>
      <c r="H9" s="27">
        <f>E9+G9</f>
        <v>13494.24</v>
      </c>
      <c r="I9" s="28">
        <f>ROUND(MAX(MIN(8%*Salaire_brut,Plafond_SS*8*8%)-AbondPERCO,0),0)</f>
        <v>12000</v>
      </c>
      <c r="J9" s="29">
        <f>MAX(0,H9-I9)</f>
        <v>1494.2399999999998</v>
      </c>
      <c r="K9" s="30">
        <f>IF(H9=0,0,ROUND(J9*E9/H9,2))</f>
        <v>498.08</v>
      </c>
      <c r="L9" s="31">
        <f>J9-K9</f>
        <v>996.1599999999999</v>
      </c>
      <c r="M9" s="27">
        <f>G9</f>
        <v>8996.16</v>
      </c>
      <c r="N9" s="28">
        <f>ROUND(MAX(MAX((Plafond_SS*5%),MIN(Salaire_brut,Plafond_SS*5)*5%)-AbondPERCO,0),0)</f>
        <v>7500</v>
      </c>
      <c r="O9" s="32">
        <f>MAX(0,M9-N9)</f>
        <v>1496.1599999999999</v>
      </c>
    </row>
    <row r="10" spans="1:15" s="7" customFormat="1" ht="15" customHeight="1">
      <c r="A10" s="64" t="s">
        <v>11</v>
      </c>
      <c r="B10" s="19" t="s">
        <v>5</v>
      </c>
      <c r="C10" s="20">
        <f>IF(Salaire_brut&gt;Plafond_SS,Plafond_SS,Salaire_brut)</f>
        <v>37548</v>
      </c>
      <c r="D10" s="39">
        <v>0.97</v>
      </c>
      <c r="E10" s="21">
        <f aca="true" t="shared" si="0" ref="E10:E15">ROUND(C10*D10/100,2)</f>
        <v>364.22</v>
      </c>
      <c r="F10" s="40">
        <v>1.95</v>
      </c>
      <c r="G10" s="22">
        <f aca="true" t="shared" si="1" ref="G10:G15">ROUND(C10*F10/100,2)</f>
        <v>732.19</v>
      </c>
      <c r="H10" s="65"/>
      <c r="I10" s="54"/>
      <c r="J10" s="54"/>
      <c r="K10" s="54"/>
      <c r="L10" s="66"/>
      <c r="M10" s="65"/>
      <c r="N10" s="54"/>
      <c r="O10" s="66"/>
    </row>
    <row r="11" spans="1:15" s="7" customFormat="1" ht="15" customHeight="1">
      <c r="A11" s="64"/>
      <c r="B11" s="19" t="s">
        <v>6</v>
      </c>
      <c r="C11" s="20">
        <f>IF(Salaire_brut&gt;Plafond_SS,MIN(Salaire_brut-Plafond_SS,Plafond_SS*3),0)</f>
        <v>112452</v>
      </c>
      <c r="D11" s="39">
        <v>2.23</v>
      </c>
      <c r="E11" s="21">
        <f t="shared" si="0"/>
        <v>2507.68</v>
      </c>
      <c r="F11" s="40">
        <v>2.23</v>
      </c>
      <c r="G11" s="22">
        <f t="shared" si="1"/>
        <v>2507.68</v>
      </c>
      <c r="H11" s="65"/>
      <c r="I11" s="54"/>
      <c r="J11" s="54"/>
      <c r="K11" s="54"/>
      <c r="L11" s="66"/>
      <c r="M11" s="65"/>
      <c r="N11" s="54"/>
      <c r="O11" s="66"/>
    </row>
    <row r="12" spans="1:15" s="7" customFormat="1" ht="15" customHeight="1">
      <c r="A12" s="64"/>
      <c r="B12" s="19" t="s">
        <v>7</v>
      </c>
      <c r="C12" s="20">
        <f>IF(Salaire_brut&gt;Plafond_SS*4,Salaire_brut-Plafond_SS*4,0)</f>
        <v>0</v>
      </c>
      <c r="D12" s="39">
        <v>2.23</v>
      </c>
      <c r="E12" s="21">
        <f t="shared" si="0"/>
        <v>0</v>
      </c>
      <c r="F12" s="40">
        <v>2.23</v>
      </c>
      <c r="G12" s="22">
        <f t="shared" si="1"/>
        <v>0</v>
      </c>
      <c r="H12" s="65"/>
      <c r="I12" s="54"/>
      <c r="J12" s="54"/>
      <c r="K12" s="54"/>
      <c r="L12" s="66"/>
      <c r="M12" s="65"/>
      <c r="N12" s="54"/>
      <c r="O12" s="66"/>
    </row>
    <row r="13" spans="1:15" s="7" customFormat="1" ht="15" customHeight="1">
      <c r="A13" s="64" t="s">
        <v>22</v>
      </c>
      <c r="B13" s="19" t="s">
        <v>5</v>
      </c>
      <c r="C13" s="20">
        <f>IF(Salaire_brut&gt;Plafond_SS,Plafond_SS,Salaire_brut)</f>
        <v>37548</v>
      </c>
      <c r="D13" s="39">
        <v>1.207</v>
      </c>
      <c r="E13" s="21">
        <f t="shared" si="0"/>
        <v>453.2</v>
      </c>
      <c r="F13" s="40">
        <v>3.623</v>
      </c>
      <c r="G13" s="49">
        <f t="shared" si="1"/>
        <v>1360.36</v>
      </c>
      <c r="H13" s="65"/>
      <c r="I13" s="54"/>
      <c r="J13" s="54"/>
      <c r="K13" s="54"/>
      <c r="L13" s="66"/>
      <c r="M13" s="65"/>
      <c r="N13" s="54"/>
      <c r="O13" s="66"/>
    </row>
    <row r="14" spans="1:15" s="7" customFormat="1" ht="15" customHeight="1">
      <c r="A14" s="64"/>
      <c r="B14" s="19" t="s">
        <v>6</v>
      </c>
      <c r="C14" s="20">
        <f>IF(Salaire_brut&gt;Plafond_SS,MIN(Salaire_brut-Plafond_SS,Plafond_SS*3),0)</f>
        <v>112452</v>
      </c>
      <c r="D14" s="39"/>
      <c r="E14" s="21">
        <f t="shared" si="0"/>
        <v>0</v>
      </c>
      <c r="F14" s="40"/>
      <c r="G14" s="50">
        <f t="shared" si="1"/>
        <v>0</v>
      </c>
      <c r="H14" s="65"/>
      <c r="I14" s="54"/>
      <c r="J14" s="54"/>
      <c r="K14" s="54"/>
      <c r="L14" s="66"/>
      <c r="M14" s="65"/>
      <c r="N14" s="54"/>
      <c r="O14" s="66"/>
    </row>
    <row r="15" spans="1:15" s="7" customFormat="1" ht="15" customHeight="1">
      <c r="A15" s="64"/>
      <c r="B15" s="19" t="s">
        <v>7</v>
      </c>
      <c r="C15" s="20">
        <f>IF(Salaire_brut&gt;Plafond_SS*4,Salaire_brut-Plafond_SS*4,0)</f>
        <v>0</v>
      </c>
      <c r="D15" s="39"/>
      <c r="E15" s="21">
        <f t="shared" si="0"/>
        <v>0</v>
      </c>
      <c r="F15" s="40"/>
      <c r="G15" s="50">
        <f t="shared" si="1"/>
        <v>0</v>
      </c>
      <c r="H15" s="65"/>
      <c r="I15" s="54"/>
      <c r="J15" s="54"/>
      <c r="K15" s="54"/>
      <c r="L15" s="66"/>
      <c r="M15" s="65"/>
      <c r="N15" s="54"/>
      <c r="O15" s="66"/>
    </row>
    <row r="16" spans="1:15" s="7" customFormat="1" ht="15" customHeight="1">
      <c r="A16" s="64"/>
      <c r="B16" s="19" t="s">
        <v>23</v>
      </c>
      <c r="C16" s="67"/>
      <c r="D16" s="68"/>
      <c r="E16" s="37"/>
      <c r="F16" s="34"/>
      <c r="G16" s="38"/>
      <c r="H16" s="65"/>
      <c r="I16" s="54"/>
      <c r="J16" s="54"/>
      <c r="K16" s="54"/>
      <c r="L16" s="66"/>
      <c r="M16" s="65"/>
      <c r="N16" s="54"/>
      <c r="O16" s="66"/>
    </row>
    <row r="17" spans="1:15" s="33" customFormat="1" ht="18" customHeight="1">
      <c r="A17" s="51" t="s">
        <v>24</v>
      </c>
      <c r="B17" s="52"/>
      <c r="C17" s="53"/>
      <c r="D17" s="54"/>
      <c r="E17" s="24">
        <f>SUM(E10:E16)</f>
        <v>3325.0999999999995</v>
      </c>
      <c r="F17" s="41"/>
      <c r="G17" s="26">
        <f>SUM(G10:G16)</f>
        <v>4600.23</v>
      </c>
      <c r="H17" s="48">
        <f>E17+G17-SUM(G13:G16)</f>
        <v>6564.969999999999</v>
      </c>
      <c r="I17" s="28">
        <f>ROUND(MIN((5%*Plafond_SS)+(2%*(Salaire_brut+SUM(G13:G16))),2%*8*Plafond_SS),0)</f>
        <v>4905</v>
      </c>
      <c r="J17" s="29">
        <f>MAX(0,H17-I17)</f>
        <v>1659.9699999999993</v>
      </c>
      <c r="K17" s="30">
        <f>IF(H17=0,0,ROUND(J17*E17/H17,2))</f>
        <v>840.76</v>
      </c>
      <c r="L17" s="31">
        <f>J17-K17</f>
        <v>819.2099999999994</v>
      </c>
      <c r="M17" s="27">
        <f>G17</f>
        <v>4600.23</v>
      </c>
      <c r="N17" s="28">
        <f>ROUND(MIN((6%*Plafond_SS)+(1.5%*Salaire_brut),12%*Plafond_SS),0)</f>
        <v>4503</v>
      </c>
      <c r="O17" s="32">
        <f>MAX(0,M17-N17)</f>
        <v>97.22999999999956</v>
      </c>
    </row>
    <row r="18" spans="1:15" s="45" customFormat="1" ht="18" customHeight="1" thickBot="1">
      <c r="A18" s="55" t="s">
        <v>26</v>
      </c>
      <c r="B18" s="56"/>
      <c r="C18" s="57"/>
      <c r="D18" s="58"/>
      <c r="E18" s="58"/>
      <c r="F18" s="58"/>
      <c r="G18" s="59"/>
      <c r="H18" s="44"/>
      <c r="I18" s="42"/>
      <c r="J18" s="43"/>
      <c r="K18" s="46">
        <f>K9+K17</f>
        <v>1338.84</v>
      </c>
      <c r="L18" s="46">
        <f>L9+L17</f>
        <v>1815.3699999999992</v>
      </c>
      <c r="M18" s="44"/>
      <c r="N18" s="42"/>
      <c r="O18" s="47">
        <f>O9+O17</f>
        <v>1593.3899999999994</v>
      </c>
    </row>
    <row r="19" spans="1:15" ht="16.5" customHeight="1">
      <c r="A19" s="60" t="s">
        <v>25</v>
      </c>
      <c r="B19" s="62" t="s">
        <v>29</v>
      </c>
      <c r="C19" s="62"/>
      <c r="D19" s="62"/>
      <c r="E19" s="62"/>
      <c r="F19" s="62"/>
      <c r="G19" s="62"/>
      <c r="H19" s="62"/>
      <c r="I19" s="62"/>
      <c r="J19" s="62"/>
      <c r="K19" s="62"/>
      <c r="L19" s="62"/>
      <c r="M19" s="62"/>
      <c r="N19" s="62"/>
      <c r="O19" s="62"/>
    </row>
    <row r="20" spans="1:15" ht="16.5" customHeight="1">
      <c r="A20" s="61"/>
      <c r="B20" s="63"/>
      <c r="C20" s="63"/>
      <c r="D20" s="63"/>
      <c r="E20" s="63"/>
      <c r="F20" s="63"/>
      <c r="G20" s="63"/>
      <c r="H20" s="63"/>
      <c r="I20" s="63"/>
      <c r="J20" s="63"/>
      <c r="K20" s="63"/>
      <c r="L20" s="63"/>
      <c r="M20" s="63"/>
      <c r="N20" s="63"/>
      <c r="O20" s="63"/>
    </row>
    <row r="21" spans="1:15" ht="16.5" customHeight="1">
      <c r="A21" s="61"/>
      <c r="B21" s="63"/>
      <c r="C21" s="63"/>
      <c r="D21" s="63"/>
      <c r="E21" s="63"/>
      <c r="F21" s="63"/>
      <c r="G21" s="63"/>
      <c r="H21" s="63"/>
      <c r="I21" s="63"/>
      <c r="J21" s="63"/>
      <c r="K21" s="63"/>
      <c r="L21" s="63"/>
      <c r="M21" s="63"/>
      <c r="N21" s="63"/>
      <c r="O21" s="63"/>
    </row>
    <row r="22" spans="1:15" ht="16.5" customHeight="1">
      <c r="A22" s="61"/>
      <c r="B22" s="63"/>
      <c r="C22" s="63"/>
      <c r="D22" s="63"/>
      <c r="E22" s="63"/>
      <c r="F22" s="63"/>
      <c r="G22" s="63"/>
      <c r="H22" s="63"/>
      <c r="I22" s="63"/>
      <c r="J22" s="63"/>
      <c r="K22" s="63"/>
      <c r="L22" s="63"/>
      <c r="M22" s="63"/>
      <c r="N22" s="63"/>
      <c r="O22" s="63"/>
    </row>
    <row r="23" spans="1:15" ht="16.5" customHeight="1">
      <c r="A23" s="61"/>
      <c r="B23" s="63"/>
      <c r="C23" s="63"/>
      <c r="D23" s="63"/>
      <c r="E23" s="63"/>
      <c r="F23" s="63"/>
      <c r="G23" s="63"/>
      <c r="H23" s="63"/>
      <c r="I23" s="63"/>
      <c r="J23" s="63"/>
      <c r="K23" s="63"/>
      <c r="L23" s="63"/>
      <c r="M23" s="63"/>
      <c r="N23" s="63"/>
      <c r="O23" s="63"/>
    </row>
    <row r="24" spans="1:15" ht="16.5" customHeight="1">
      <c r="A24" s="61"/>
      <c r="B24" s="63"/>
      <c r="C24" s="63"/>
      <c r="D24" s="63"/>
      <c r="E24" s="63"/>
      <c r="F24" s="63"/>
      <c r="G24" s="63"/>
      <c r="H24" s="63"/>
      <c r="I24" s="63"/>
      <c r="J24" s="63"/>
      <c r="K24" s="63"/>
      <c r="L24" s="63"/>
      <c r="M24" s="63"/>
      <c r="N24" s="63"/>
      <c r="O24" s="63"/>
    </row>
    <row r="25" spans="1:15" ht="16.5" customHeight="1">
      <c r="A25" s="61"/>
      <c r="B25" s="63"/>
      <c r="C25" s="63"/>
      <c r="D25" s="63"/>
      <c r="E25" s="63"/>
      <c r="F25" s="63"/>
      <c r="G25" s="63"/>
      <c r="H25" s="63"/>
      <c r="I25" s="63"/>
      <c r="J25" s="63"/>
      <c r="K25" s="63"/>
      <c r="L25" s="63"/>
      <c r="M25" s="63"/>
      <c r="N25" s="63"/>
      <c r="O25" s="63"/>
    </row>
    <row r="26" spans="1:15" ht="16.5" customHeight="1">
      <c r="A26" s="61"/>
      <c r="B26" s="63"/>
      <c r="C26" s="63"/>
      <c r="D26" s="63"/>
      <c r="E26" s="63"/>
      <c r="F26" s="63"/>
      <c r="G26" s="63"/>
      <c r="H26" s="63"/>
      <c r="I26" s="63"/>
      <c r="J26" s="63"/>
      <c r="K26" s="63"/>
      <c r="L26" s="63"/>
      <c r="M26" s="63"/>
      <c r="N26" s="63"/>
      <c r="O26" s="63"/>
    </row>
    <row r="27" spans="1:15" ht="16.5" customHeight="1">
      <c r="A27" s="61"/>
      <c r="B27" s="63"/>
      <c r="C27" s="63"/>
      <c r="D27" s="63"/>
      <c r="E27" s="63"/>
      <c r="F27" s="63"/>
      <c r="G27" s="63"/>
      <c r="H27" s="63"/>
      <c r="I27" s="63"/>
      <c r="J27" s="63"/>
      <c r="K27" s="63"/>
      <c r="L27" s="63"/>
      <c r="M27" s="63"/>
      <c r="N27" s="63"/>
      <c r="O27" s="63"/>
    </row>
    <row r="28" spans="1:15" ht="16.5" customHeight="1">
      <c r="A28" s="61"/>
      <c r="B28" s="63"/>
      <c r="C28" s="63"/>
      <c r="D28" s="63"/>
      <c r="E28" s="63"/>
      <c r="F28" s="63"/>
      <c r="G28" s="63"/>
      <c r="H28" s="63"/>
      <c r="I28" s="63"/>
      <c r="J28" s="63"/>
      <c r="K28" s="63"/>
      <c r="L28" s="63"/>
      <c r="M28" s="63"/>
      <c r="N28" s="63"/>
      <c r="O28" s="63"/>
    </row>
    <row r="29" spans="1:15" ht="16.5" customHeight="1">
      <c r="A29" s="61"/>
      <c r="B29" s="63"/>
      <c r="C29" s="63"/>
      <c r="D29" s="63"/>
      <c r="E29" s="63"/>
      <c r="F29" s="63"/>
      <c r="G29" s="63"/>
      <c r="H29" s="63"/>
      <c r="I29" s="63"/>
      <c r="J29" s="63"/>
      <c r="K29" s="63"/>
      <c r="L29" s="63"/>
      <c r="M29" s="63"/>
      <c r="N29" s="63"/>
      <c r="O29" s="63"/>
    </row>
  </sheetData>
  <sheetProtection sheet="1" objects="1" scenarios="1"/>
  <mergeCells count="22">
    <mergeCell ref="A17:B17"/>
    <mergeCell ref="C17:D17"/>
    <mergeCell ref="A18:B18"/>
    <mergeCell ref="C18:G18"/>
    <mergeCell ref="A19:A29"/>
    <mergeCell ref="B19:O29"/>
    <mergeCell ref="C9:D9"/>
    <mergeCell ref="A10:A12"/>
    <mergeCell ref="H10:L16"/>
    <mergeCell ref="M10:O16"/>
    <mergeCell ref="A13:A16"/>
    <mergeCell ref="C16:D16"/>
    <mergeCell ref="H1:L1"/>
    <mergeCell ref="M1:O1"/>
    <mergeCell ref="A3:B3"/>
    <mergeCell ref="D3:E5"/>
    <mergeCell ref="F3:G5"/>
    <mergeCell ref="H3:L8"/>
    <mergeCell ref="M3:O8"/>
    <mergeCell ref="A4:B4"/>
    <mergeCell ref="A5:B5"/>
    <mergeCell ref="A6:A9"/>
  </mergeCells>
  <printOptions horizontalCentered="1"/>
  <pageMargins left="0.3937007874015748" right="0.3937007874015748" top="0.984251968503937" bottom="0.984251968503937" header="0.5118110236220472" footer="0.5118110236220472"/>
  <pageSetup fitToHeight="0" fitToWidth="1" horizontalDpi="300" verticalDpi="300" orientation="landscape" paperSize="9" scale="93" r:id="rId3"/>
  <headerFooter alignWithMargins="0">
    <oddHeader>&amp;C&amp;"Arial,Gras"&amp;12Retraite et Prévoyance - Réintégration des excédents</oddHeader>
  </headerFooter>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O29"/>
  <sheetViews>
    <sheetView zoomScalePageLayoutView="0" workbookViewId="0" topLeftCell="A1">
      <selection activeCell="C3" sqref="C3"/>
    </sheetView>
  </sheetViews>
  <sheetFormatPr defaultColWidth="11.421875" defaultRowHeight="12.75"/>
  <cols>
    <col min="1" max="1" width="23.140625" style="35" customWidth="1"/>
    <col min="2" max="2" width="6.140625" style="36" customWidth="1"/>
    <col min="3" max="3" width="11.00390625" style="35" customWidth="1"/>
    <col min="4" max="4" width="6.8515625" style="35" customWidth="1"/>
    <col min="5" max="5" width="9.421875" style="35" customWidth="1"/>
    <col min="6" max="6" width="7.140625" style="35" customWidth="1"/>
    <col min="7" max="7" width="9.421875" style="35" customWidth="1"/>
    <col min="8" max="8" width="9.8515625" style="35" customWidth="1"/>
    <col min="9" max="10" width="9.7109375" style="35" customWidth="1"/>
    <col min="11" max="12" width="10.28125" style="35" customWidth="1"/>
    <col min="13" max="13" width="9.8515625" style="35" customWidth="1"/>
    <col min="14" max="15" width="9.7109375" style="35" customWidth="1"/>
    <col min="16" max="16384" width="11.421875" style="35" customWidth="1"/>
  </cols>
  <sheetData>
    <row r="1" spans="1:15" s="7" customFormat="1" ht="21" customHeight="1">
      <c r="A1" s="3"/>
      <c r="B1" s="4"/>
      <c r="C1" s="5" t="s">
        <v>19</v>
      </c>
      <c r="D1" s="5"/>
      <c r="E1" s="5"/>
      <c r="F1" s="5"/>
      <c r="G1" s="6"/>
      <c r="H1" s="69" t="s">
        <v>15</v>
      </c>
      <c r="I1" s="70"/>
      <c r="J1" s="70"/>
      <c r="K1" s="70"/>
      <c r="L1" s="71"/>
      <c r="M1" s="72" t="s">
        <v>20</v>
      </c>
      <c r="N1" s="73"/>
      <c r="O1" s="74"/>
    </row>
    <row r="2" spans="1:15" s="18" customFormat="1" ht="23.25" customHeight="1">
      <c r="A2" s="8" t="s">
        <v>21</v>
      </c>
      <c r="B2" s="9"/>
      <c r="C2" s="9" t="s">
        <v>3</v>
      </c>
      <c r="D2" s="10" t="s">
        <v>0</v>
      </c>
      <c r="E2" s="9" t="s">
        <v>9</v>
      </c>
      <c r="F2" s="10" t="s">
        <v>1</v>
      </c>
      <c r="G2" s="11" t="s">
        <v>10</v>
      </c>
      <c r="H2" s="12" t="s">
        <v>13</v>
      </c>
      <c r="I2" s="13" t="s">
        <v>12</v>
      </c>
      <c r="J2" s="13" t="s">
        <v>14</v>
      </c>
      <c r="K2" s="13" t="s">
        <v>17</v>
      </c>
      <c r="L2" s="14" t="s">
        <v>16</v>
      </c>
      <c r="M2" s="15" t="s">
        <v>18</v>
      </c>
      <c r="N2" s="16" t="s">
        <v>31</v>
      </c>
      <c r="O2" s="17" t="s">
        <v>14</v>
      </c>
    </row>
    <row r="3" spans="1:15" s="7" customFormat="1" ht="18" customHeight="1">
      <c r="A3" s="75" t="s">
        <v>2</v>
      </c>
      <c r="B3" s="76"/>
      <c r="C3" s="1">
        <v>150000</v>
      </c>
      <c r="D3" s="77"/>
      <c r="E3" s="78"/>
      <c r="F3" s="81"/>
      <c r="G3" s="82"/>
      <c r="H3" s="85"/>
      <c r="I3" s="86"/>
      <c r="J3" s="86"/>
      <c r="K3" s="86"/>
      <c r="L3" s="87"/>
      <c r="M3" s="85"/>
      <c r="N3" s="86"/>
      <c r="O3" s="87"/>
    </row>
    <row r="4" spans="1:15" s="7" customFormat="1" ht="18" customHeight="1">
      <c r="A4" s="64" t="s">
        <v>28</v>
      </c>
      <c r="B4" s="88"/>
      <c r="C4" s="2"/>
      <c r="D4" s="79"/>
      <c r="E4" s="80"/>
      <c r="F4" s="83"/>
      <c r="G4" s="84"/>
      <c r="H4" s="85"/>
      <c r="I4" s="86"/>
      <c r="J4" s="86"/>
      <c r="K4" s="86"/>
      <c r="L4" s="87"/>
      <c r="M4" s="85"/>
      <c r="N4" s="86"/>
      <c r="O4" s="87"/>
    </row>
    <row r="5" spans="1:15" s="7" customFormat="1" ht="18" customHeight="1">
      <c r="A5" s="64" t="s">
        <v>33</v>
      </c>
      <c r="B5" s="88"/>
      <c r="C5" s="2">
        <v>37032</v>
      </c>
      <c r="D5" s="79"/>
      <c r="E5" s="80"/>
      <c r="F5" s="83"/>
      <c r="G5" s="84"/>
      <c r="H5" s="85"/>
      <c r="I5" s="86"/>
      <c r="J5" s="86"/>
      <c r="K5" s="86"/>
      <c r="L5" s="87"/>
      <c r="M5" s="85"/>
      <c r="N5" s="86"/>
      <c r="O5" s="87"/>
    </row>
    <row r="6" spans="1:15" s="7" customFormat="1" ht="15" customHeight="1">
      <c r="A6" s="64" t="s">
        <v>4</v>
      </c>
      <c r="B6" s="19" t="s">
        <v>5</v>
      </c>
      <c r="C6" s="20">
        <f>IF(Salaire_brut&gt;Plafond_SS,Plafond_SS,Salaire_brut)</f>
        <v>37032</v>
      </c>
      <c r="D6" s="39"/>
      <c r="E6" s="21">
        <f>ROUND(C6*D6/100,2)</f>
        <v>0</v>
      </c>
      <c r="F6" s="40"/>
      <c r="G6" s="22">
        <f>ROUND(C6*F6/100,2)</f>
        <v>0</v>
      </c>
      <c r="H6" s="85"/>
      <c r="I6" s="86"/>
      <c r="J6" s="86"/>
      <c r="K6" s="86"/>
      <c r="L6" s="87"/>
      <c r="M6" s="85"/>
      <c r="N6" s="86"/>
      <c r="O6" s="87"/>
    </row>
    <row r="7" spans="1:15" s="7" customFormat="1" ht="15" customHeight="1">
      <c r="A7" s="64"/>
      <c r="B7" s="19" t="s">
        <v>6</v>
      </c>
      <c r="C7" s="20">
        <f>IF(Salaire_brut&gt;Plafond_SS,MIN(Salaire_brut-Plafond_SS,Plafond_SS*3),0)</f>
        <v>111096</v>
      </c>
      <c r="D7" s="39">
        <v>4</v>
      </c>
      <c r="E7" s="21">
        <f>ROUND(C7*D7/100,2)</f>
        <v>4443.84</v>
      </c>
      <c r="F7" s="40">
        <v>8</v>
      </c>
      <c r="G7" s="22">
        <f>ROUND(C7*F7/100,2)</f>
        <v>8887.68</v>
      </c>
      <c r="H7" s="85"/>
      <c r="I7" s="86"/>
      <c r="J7" s="86"/>
      <c r="K7" s="86"/>
      <c r="L7" s="87"/>
      <c r="M7" s="85"/>
      <c r="N7" s="86"/>
      <c r="O7" s="87"/>
    </row>
    <row r="8" spans="1:15" s="7" customFormat="1" ht="15" customHeight="1">
      <c r="A8" s="64"/>
      <c r="B8" s="19" t="s">
        <v>7</v>
      </c>
      <c r="C8" s="20">
        <f>IF(Salaire_brut&gt;Plafond_SS*4,Salaire_brut-Plafond_SS*4,0)</f>
        <v>1872</v>
      </c>
      <c r="D8" s="39">
        <v>4</v>
      </c>
      <c r="E8" s="21">
        <f>ROUND(C8*D8/100,2)</f>
        <v>74.88</v>
      </c>
      <c r="F8" s="40">
        <v>8</v>
      </c>
      <c r="G8" s="22">
        <f>ROUND(C8*F8/100,2)</f>
        <v>149.76</v>
      </c>
      <c r="H8" s="85"/>
      <c r="I8" s="86"/>
      <c r="J8" s="86"/>
      <c r="K8" s="86"/>
      <c r="L8" s="87"/>
      <c r="M8" s="85"/>
      <c r="N8" s="86"/>
      <c r="O8" s="87"/>
    </row>
    <row r="9" spans="1:15" s="33" customFormat="1" ht="15" customHeight="1">
      <c r="A9" s="64"/>
      <c r="B9" s="23" t="s">
        <v>8</v>
      </c>
      <c r="C9" s="53"/>
      <c r="D9" s="54"/>
      <c r="E9" s="24">
        <f>SUM(E6:E8)</f>
        <v>4518.72</v>
      </c>
      <c r="F9" s="25"/>
      <c r="G9" s="26">
        <f>SUM(G6:G8)</f>
        <v>9037.44</v>
      </c>
      <c r="H9" s="27">
        <f>E9+G9</f>
        <v>13556.16</v>
      </c>
      <c r="I9" s="28">
        <f>ROUND(MAX(MIN(8%*Salaire_brut,Plafond_SS*8*8%)-AbondPERCO,0),0)</f>
        <v>12000</v>
      </c>
      <c r="J9" s="29">
        <f>MAX(0,H9-I9)</f>
        <v>1556.1599999999999</v>
      </c>
      <c r="K9" s="30">
        <f>IF(H9=0,0,ROUND(J9*E9/H9,2))</f>
        <v>518.72</v>
      </c>
      <c r="L9" s="31">
        <f>J9-K9</f>
        <v>1037.4399999999998</v>
      </c>
      <c r="M9" s="27">
        <f>G9</f>
        <v>9037.44</v>
      </c>
      <c r="N9" s="28">
        <f>ROUND(MAX(MAX((Plafond_SS*5%),MIN(Salaire_brut,Plafond_SS*5)*5%)-AbondPERCO,0),0)</f>
        <v>7500</v>
      </c>
      <c r="O9" s="32">
        <f>MAX(0,M9-N9)</f>
        <v>1537.4400000000005</v>
      </c>
    </row>
    <row r="10" spans="1:15" s="7" customFormat="1" ht="15" customHeight="1">
      <c r="A10" s="64" t="s">
        <v>11</v>
      </c>
      <c r="B10" s="19" t="s">
        <v>5</v>
      </c>
      <c r="C10" s="20">
        <f>IF(Salaire_brut&gt;Plafond_SS,Plafond_SS,Salaire_brut)</f>
        <v>37032</v>
      </c>
      <c r="D10" s="39">
        <v>0.97</v>
      </c>
      <c r="E10" s="21">
        <f aca="true" t="shared" si="0" ref="E10:E15">ROUND(C10*D10/100,2)</f>
        <v>359.21</v>
      </c>
      <c r="F10" s="40">
        <v>1.95</v>
      </c>
      <c r="G10" s="22">
        <f aca="true" t="shared" si="1" ref="G10:G15">ROUND(C10*F10/100,2)</f>
        <v>722.12</v>
      </c>
      <c r="H10" s="65"/>
      <c r="I10" s="54"/>
      <c r="J10" s="54"/>
      <c r="K10" s="54"/>
      <c r="L10" s="66"/>
      <c r="M10" s="65"/>
      <c r="N10" s="54"/>
      <c r="O10" s="66"/>
    </row>
    <row r="11" spans="1:15" s="7" customFormat="1" ht="15" customHeight="1">
      <c r="A11" s="64"/>
      <c r="B11" s="19" t="s">
        <v>6</v>
      </c>
      <c r="C11" s="20">
        <f>IF(Salaire_brut&gt;Plafond_SS,MIN(Salaire_brut-Plafond_SS,Plafond_SS*3),0)</f>
        <v>111096</v>
      </c>
      <c r="D11" s="39">
        <v>2.23</v>
      </c>
      <c r="E11" s="21">
        <f t="shared" si="0"/>
        <v>2477.44</v>
      </c>
      <c r="F11" s="40">
        <v>2.23</v>
      </c>
      <c r="G11" s="22">
        <f t="shared" si="1"/>
        <v>2477.44</v>
      </c>
      <c r="H11" s="65"/>
      <c r="I11" s="54"/>
      <c r="J11" s="54"/>
      <c r="K11" s="54"/>
      <c r="L11" s="66"/>
      <c r="M11" s="65"/>
      <c r="N11" s="54"/>
      <c r="O11" s="66"/>
    </row>
    <row r="12" spans="1:15" s="7" customFormat="1" ht="15" customHeight="1">
      <c r="A12" s="64"/>
      <c r="B12" s="19" t="s">
        <v>7</v>
      </c>
      <c r="C12" s="20">
        <f>IF(Salaire_brut&gt;Plafond_SS*4,Salaire_brut-Plafond_SS*4,0)</f>
        <v>1872</v>
      </c>
      <c r="D12" s="39">
        <v>2.23</v>
      </c>
      <c r="E12" s="21">
        <f t="shared" si="0"/>
        <v>41.75</v>
      </c>
      <c r="F12" s="40">
        <v>2.23</v>
      </c>
      <c r="G12" s="22">
        <f t="shared" si="1"/>
        <v>41.75</v>
      </c>
      <c r="H12" s="65"/>
      <c r="I12" s="54"/>
      <c r="J12" s="54"/>
      <c r="K12" s="54"/>
      <c r="L12" s="66"/>
      <c r="M12" s="65"/>
      <c r="N12" s="54"/>
      <c r="O12" s="66"/>
    </row>
    <row r="13" spans="1:15" s="7" customFormat="1" ht="15" customHeight="1">
      <c r="A13" s="64" t="s">
        <v>22</v>
      </c>
      <c r="B13" s="19" t="s">
        <v>5</v>
      </c>
      <c r="C13" s="20">
        <f>IF(Salaire_brut&gt;Plafond_SS,Plafond_SS,Salaire_brut)</f>
        <v>37032</v>
      </c>
      <c r="D13" s="39">
        <v>1.207</v>
      </c>
      <c r="E13" s="21">
        <f t="shared" si="0"/>
        <v>446.98</v>
      </c>
      <c r="F13" s="40">
        <v>3.623</v>
      </c>
      <c r="G13" s="49">
        <f t="shared" si="1"/>
        <v>1341.67</v>
      </c>
      <c r="H13" s="65"/>
      <c r="I13" s="54"/>
      <c r="J13" s="54"/>
      <c r="K13" s="54"/>
      <c r="L13" s="66"/>
      <c r="M13" s="65"/>
      <c r="N13" s="54"/>
      <c r="O13" s="66"/>
    </row>
    <row r="14" spans="1:15" s="7" customFormat="1" ht="15" customHeight="1">
      <c r="A14" s="64"/>
      <c r="B14" s="19" t="s">
        <v>6</v>
      </c>
      <c r="C14" s="20">
        <f>IF(Salaire_brut&gt;Plafond_SS,MIN(Salaire_brut-Plafond_SS,Plafond_SS*3),0)</f>
        <v>111096</v>
      </c>
      <c r="D14" s="39"/>
      <c r="E14" s="21">
        <f t="shared" si="0"/>
        <v>0</v>
      </c>
      <c r="F14" s="40"/>
      <c r="G14" s="22">
        <f t="shared" si="1"/>
        <v>0</v>
      </c>
      <c r="H14" s="65"/>
      <c r="I14" s="54"/>
      <c r="J14" s="54"/>
      <c r="K14" s="54"/>
      <c r="L14" s="66"/>
      <c r="M14" s="65"/>
      <c r="N14" s="54"/>
      <c r="O14" s="66"/>
    </row>
    <row r="15" spans="1:15" s="7" customFormat="1" ht="15" customHeight="1">
      <c r="A15" s="64"/>
      <c r="B15" s="19" t="s">
        <v>7</v>
      </c>
      <c r="C15" s="20">
        <f>IF(Salaire_brut&gt;Plafond_SS*4,Salaire_brut-Plafond_SS*4,0)</f>
        <v>1872</v>
      </c>
      <c r="D15" s="39"/>
      <c r="E15" s="21">
        <f t="shared" si="0"/>
        <v>0</v>
      </c>
      <c r="F15" s="40"/>
      <c r="G15" s="22">
        <f t="shared" si="1"/>
        <v>0</v>
      </c>
      <c r="H15" s="65"/>
      <c r="I15" s="54"/>
      <c r="J15" s="54"/>
      <c r="K15" s="54"/>
      <c r="L15" s="66"/>
      <c r="M15" s="65"/>
      <c r="N15" s="54"/>
      <c r="O15" s="66"/>
    </row>
    <row r="16" spans="1:15" s="7" customFormat="1" ht="15" customHeight="1">
      <c r="A16" s="64"/>
      <c r="B16" s="19" t="s">
        <v>23</v>
      </c>
      <c r="C16" s="67"/>
      <c r="D16" s="68"/>
      <c r="E16" s="37"/>
      <c r="F16" s="34"/>
      <c r="G16" s="38"/>
      <c r="H16" s="65"/>
      <c r="I16" s="54"/>
      <c r="J16" s="54"/>
      <c r="K16" s="54"/>
      <c r="L16" s="66"/>
      <c r="M16" s="65"/>
      <c r="N16" s="54"/>
      <c r="O16" s="66"/>
    </row>
    <row r="17" spans="1:15" s="33" customFormat="1" ht="18" customHeight="1">
      <c r="A17" s="51" t="s">
        <v>24</v>
      </c>
      <c r="B17" s="52"/>
      <c r="C17" s="53"/>
      <c r="D17" s="54"/>
      <c r="E17" s="24">
        <f>SUM(E10:E16)</f>
        <v>3325.38</v>
      </c>
      <c r="F17" s="41"/>
      <c r="G17" s="26">
        <f>SUM(G10:G16)</f>
        <v>4582.98</v>
      </c>
      <c r="H17" s="48">
        <f>E17+G17-SUM(G13:G16)</f>
        <v>6566.69</v>
      </c>
      <c r="I17" s="28">
        <f>ROUND(MIN((5%*Plafond_SS)+(2%*Salaire_brut),2%*8*Plafond_SS),0)</f>
        <v>4852</v>
      </c>
      <c r="J17" s="29">
        <f>MAX(0,H17-I17)</f>
        <v>1714.6899999999996</v>
      </c>
      <c r="K17" s="30">
        <f>IF(H17=0,0,ROUND(J17*E17/H17,2))</f>
        <v>868.32</v>
      </c>
      <c r="L17" s="31">
        <f>J17-K17</f>
        <v>846.3699999999995</v>
      </c>
      <c r="M17" s="27">
        <f>G17</f>
        <v>4582.98</v>
      </c>
      <c r="N17" s="28">
        <f>ROUND(MIN((6%*Plafond_SS)+(1.5%*Salaire_brut),12%*Plafond_SS),0)</f>
        <v>4444</v>
      </c>
      <c r="O17" s="32">
        <f>MAX(0,M17-N17)</f>
        <v>138.97999999999956</v>
      </c>
    </row>
    <row r="18" spans="1:15" s="45" customFormat="1" ht="18" customHeight="1" thickBot="1">
      <c r="A18" s="55" t="s">
        <v>26</v>
      </c>
      <c r="B18" s="56"/>
      <c r="C18" s="57"/>
      <c r="D18" s="58"/>
      <c r="E18" s="58"/>
      <c r="F18" s="58"/>
      <c r="G18" s="59"/>
      <c r="H18" s="44"/>
      <c r="I18" s="42"/>
      <c r="J18" s="43"/>
      <c r="K18" s="46">
        <f>K9+K17</f>
        <v>1387.04</v>
      </c>
      <c r="L18" s="46">
        <f>L9+L17</f>
        <v>1883.8099999999995</v>
      </c>
      <c r="M18" s="44"/>
      <c r="N18" s="42"/>
      <c r="O18" s="47">
        <f>O9+O17</f>
        <v>1676.42</v>
      </c>
    </row>
    <row r="19" spans="1:15" ht="16.5" customHeight="1">
      <c r="A19" s="60" t="s">
        <v>25</v>
      </c>
      <c r="B19" s="62" t="s">
        <v>29</v>
      </c>
      <c r="C19" s="62"/>
      <c r="D19" s="62"/>
      <c r="E19" s="62"/>
      <c r="F19" s="62"/>
      <c r="G19" s="62"/>
      <c r="H19" s="62"/>
      <c r="I19" s="62"/>
      <c r="J19" s="62"/>
      <c r="K19" s="62"/>
      <c r="L19" s="62"/>
      <c r="M19" s="62"/>
      <c r="N19" s="62"/>
      <c r="O19" s="62"/>
    </row>
    <row r="20" spans="1:15" ht="16.5" customHeight="1">
      <c r="A20" s="61"/>
      <c r="B20" s="63"/>
      <c r="C20" s="63"/>
      <c r="D20" s="63"/>
      <c r="E20" s="63"/>
      <c r="F20" s="63"/>
      <c r="G20" s="63"/>
      <c r="H20" s="63"/>
      <c r="I20" s="63"/>
      <c r="J20" s="63"/>
      <c r="K20" s="63"/>
      <c r="L20" s="63"/>
      <c r="M20" s="63"/>
      <c r="N20" s="63"/>
      <c r="O20" s="63"/>
    </row>
    <row r="21" spans="1:15" ht="16.5" customHeight="1">
      <c r="A21" s="61"/>
      <c r="B21" s="63"/>
      <c r="C21" s="63"/>
      <c r="D21" s="63"/>
      <c r="E21" s="63"/>
      <c r="F21" s="63"/>
      <c r="G21" s="63"/>
      <c r="H21" s="63"/>
      <c r="I21" s="63"/>
      <c r="J21" s="63"/>
      <c r="K21" s="63"/>
      <c r="L21" s="63"/>
      <c r="M21" s="63"/>
      <c r="N21" s="63"/>
      <c r="O21" s="63"/>
    </row>
    <row r="22" spans="1:15" ht="16.5" customHeight="1">
      <c r="A22" s="61"/>
      <c r="B22" s="63"/>
      <c r="C22" s="63"/>
      <c r="D22" s="63"/>
      <c r="E22" s="63"/>
      <c r="F22" s="63"/>
      <c r="G22" s="63"/>
      <c r="H22" s="63"/>
      <c r="I22" s="63"/>
      <c r="J22" s="63"/>
      <c r="K22" s="63"/>
      <c r="L22" s="63"/>
      <c r="M22" s="63"/>
      <c r="N22" s="63"/>
      <c r="O22" s="63"/>
    </row>
    <row r="23" spans="1:15" ht="16.5" customHeight="1">
      <c r="A23" s="61"/>
      <c r="B23" s="63"/>
      <c r="C23" s="63"/>
      <c r="D23" s="63"/>
      <c r="E23" s="63"/>
      <c r="F23" s="63"/>
      <c r="G23" s="63"/>
      <c r="H23" s="63"/>
      <c r="I23" s="63"/>
      <c r="J23" s="63"/>
      <c r="K23" s="63"/>
      <c r="L23" s="63"/>
      <c r="M23" s="63"/>
      <c r="N23" s="63"/>
      <c r="O23" s="63"/>
    </row>
    <row r="24" spans="1:15" ht="16.5" customHeight="1">
      <c r="A24" s="61"/>
      <c r="B24" s="63"/>
      <c r="C24" s="63"/>
      <c r="D24" s="63"/>
      <c r="E24" s="63"/>
      <c r="F24" s="63"/>
      <c r="G24" s="63"/>
      <c r="H24" s="63"/>
      <c r="I24" s="63"/>
      <c r="J24" s="63"/>
      <c r="K24" s="63"/>
      <c r="L24" s="63"/>
      <c r="M24" s="63"/>
      <c r="N24" s="63"/>
      <c r="O24" s="63"/>
    </row>
    <row r="25" spans="1:15" ht="16.5" customHeight="1">
      <c r="A25" s="61"/>
      <c r="B25" s="63"/>
      <c r="C25" s="63"/>
      <c r="D25" s="63"/>
      <c r="E25" s="63"/>
      <c r="F25" s="63"/>
      <c r="G25" s="63"/>
      <c r="H25" s="63"/>
      <c r="I25" s="63"/>
      <c r="J25" s="63"/>
      <c r="K25" s="63"/>
      <c r="L25" s="63"/>
      <c r="M25" s="63"/>
      <c r="N25" s="63"/>
      <c r="O25" s="63"/>
    </row>
    <row r="26" spans="1:15" ht="16.5" customHeight="1">
      <c r="A26" s="61"/>
      <c r="B26" s="63"/>
      <c r="C26" s="63"/>
      <c r="D26" s="63"/>
      <c r="E26" s="63"/>
      <c r="F26" s="63"/>
      <c r="G26" s="63"/>
      <c r="H26" s="63"/>
      <c r="I26" s="63"/>
      <c r="J26" s="63"/>
      <c r="K26" s="63"/>
      <c r="L26" s="63"/>
      <c r="M26" s="63"/>
      <c r="N26" s="63"/>
      <c r="O26" s="63"/>
    </row>
    <row r="27" spans="1:15" ht="16.5" customHeight="1">
      <c r="A27" s="61"/>
      <c r="B27" s="63"/>
      <c r="C27" s="63"/>
      <c r="D27" s="63"/>
      <c r="E27" s="63"/>
      <c r="F27" s="63"/>
      <c r="G27" s="63"/>
      <c r="H27" s="63"/>
      <c r="I27" s="63"/>
      <c r="J27" s="63"/>
      <c r="K27" s="63"/>
      <c r="L27" s="63"/>
      <c r="M27" s="63"/>
      <c r="N27" s="63"/>
      <c r="O27" s="63"/>
    </row>
    <row r="28" spans="1:15" ht="16.5" customHeight="1">
      <c r="A28" s="61"/>
      <c r="B28" s="63"/>
      <c r="C28" s="63"/>
      <c r="D28" s="63"/>
      <c r="E28" s="63"/>
      <c r="F28" s="63"/>
      <c r="G28" s="63"/>
      <c r="H28" s="63"/>
      <c r="I28" s="63"/>
      <c r="J28" s="63"/>
      <c r="K28" s="63"/>
      <c r="L28" s="63"/>
      <c r="M28" s="63"/>
      <c r="N28" s="63"/>
      <c r="O28" s="63"/>
    </row>
    <row r="29" spans="1:15" ht="16.5" customHeight="1">
      <c r="A29" s="61"/>
      <c r="B29" s="63"/>
      <c r="C29" s="63"/>
      <c r="D29" s="63"/>
      <c r="E29" s="63"/>
      <c r="F29" s="63"/>
      <c r="G29" s="63"/>
      <c r="H29" s="63"/>
      <c r="I29" s="63"/>
      <c r="J29" s="63"/>
      <c r="K29" s="63"/>
      <c r="L29" s="63"/>
      <c r="M29" s="63"/>
      <c r="N29" s="63"/>
      <c r="O29" s="63"/>
    </row>
  </sheetData>
  <sheetProtection sheet="1" objects="1" scenarios="1"/>
  <mergeCells count="22">
    <mergeCell ref="H1:L1"/>
    <mergeCell ref="M1:O1"/>
    <mergeCell ref="A3:B3"/>
    <mergeCell ref="D3:E5"/>
    <mergeCell ref="F3:G5"/>
    <mergeCell ref="H3:L8"/>
    <mergeCell ref="M3:O8"/>
    <mergeCell ref="A4:B4"/>
    <mergeCell ref="A5:B5"/>
    <mergeCell ref="A6:A9"/>
    <mergeCell ref="C9:D9"/>
    <mergeCell ref="A10:A12"/>
    <mergeCell ref="H10:L16"/>
    <mergeCell ref="M10:O16"/>
    <mergeCell ref="A13:A16"/>
    <mergeCell ref="C16:D16"/>
    <mergeCell ref="A17:B17"/>
    <mergeCell ref="C17:D17"/>
    <mergeCell ref="A18:B18"/>
    <mergeCell ref="C18:G18"/>
    <mergeCell ref="A19:A29"/>
    <mergeCell ref="B19:O29"/>
  </mergeCells>
  <printOptions horizontalCentered="1"/>
  <pageMargins left="0.3937007874015748" right="0.3937007874015748" top="0.984251968503937" bottom="0.984251968503937" header="0.5118110236220472" footer="0.5118110236220472"/>
  <pageSetup fitToHeight="0" fitToWidth="1" horizontalDpi="300" verticalDpi="300" orientation="landscape" paperSize="9" scale="93" r:id="rId3"/>
  <headerFooter alignWithMargins="0">
    <oddHeader>&amp;C&amp;"Arial,Gras"&amp;12Retraite et Prévoyance - Réintégration des excédents</oddHeader>
  </headerFooter>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O29"/>
  <sheetViews>
    <sheetView zoomScalePageLayoutView="0" workbookViewId="0" topLeftCell="A1">
      <selection activeCell="L2" sqref="L2"/>
    </sheetView>
  </sheetViews>
  <sheetFormatPr defaultColWidth="11.421875" defaultRowHeight="12.75"/>
  <cols>
    <col min="1" max="1" width="23.140625" style="35" customWidth="1"/>
    <col min="2" max="2" width="6.140625" style="36" customWidth="1"/>
    <col min="3" max="3" width="11.00390625" style="35" customWidth="1"/>
    <col min="4" max="4" width="6.8515625" style="35" customWidth="1"/>
    <col min="5" max="5" width="9.421875" style="35" customWidth="1"/>
    <col min="6" max="6" width="7.140625" style="35" customWidth="1"/>
    <col min="7" max="7" width="9.421875" style="35" customWidth="1"/>
    <col min="8" max="8" width="9.8515625" style="35" customWidth="1"/>
    <col min="9" max="10" width="9.7109375" style="35" customWidth="1"/>
    <col min="11" max="12" width="10.28125" style="35" customWidth="1"/>
    <col min="13" max="13" width="9.8515625" style="35" customWidth="1"/>
    <col min="14" max="15" width="9.7109375" style="35" customWidth="1"/>
    <col min="16" max="16384" width="11.421875" style="35" customWidth="1"/>
  </cols>
  <sheetData>
    <row r="1" spans="1:15" s="7" customFormat="1" ht="21" customHeight="1">
      <c r="A1" s="3"/>
      <c r="B1" s="4"/>
      <c r="C1" s="5" t="s">
        <v>19</v>
      </c>
      <c r="D1" s="5"/>
      <c r="E1" s="5"/>
      <c r="F1" s="5"/>
      <c r="G1" s="6"/>
      <c r="H1" s="69" t="s">
        <v>15</v>
      </c>
      <c r="I1" s="70"/>
      <c r="J1" s="70"/>
      <c r="K1" s="70"/>
      <c r="L1" s="71"/>
      <c r="M1" s="72" t="s">
        <v>20</v>
      </c>
      <c r="N1" s="73"/>
      <c r="O1" s="74"/>
    </row>
    <row r="2" spans="1:15" s="18" customFormat="1" ht="23.25" customHeight="1">
      <c r="A2" s="8" t="s">
        <v>21</v>
      </c>
      <c r="B2" s="9"/>
      <c r="C2" s="9" t="s">
        <v>3</v>
      </c>
      <c r="D2" s="10" t="s">
        <v>0</v>
      </c>
      <c r="E2" s="9" t="s">
        <v>9</v>
      </c>
      <c r="F2" s="10" t="s">
        <v>1</v>
      </c>
      <c r="G2" s="11" t="s">
        <v>10</v>
      </c>
      <c r="H2" s="12" t="s">
        <v>13</v>
      </c>
      <c r="I2" s="13" t="s">
        <v>12</v>
      </c>
      <c r="J2" s="13" t="s">
        <v>14</v>
      </c>
      <c r="K2" s="13" t="s">
        <v>16</v>
      </c>
      <c r="L2" s="14" t="s">
        <v>17</v>
      </c>
      <c r="M2" s="15" t="s">
        <v>18</v>
      </c>
      <c r="N2" s="16" t="s">
        <v>31</v>
      </c>
      <c r="O2" s="17" t="s">
        <v>14</v>
      </c>
    </row>
    <row r="3" spans="1:15" s="7" customFormat="1" ht="18" customHeight="1">
      <c r="A3" s="75" t="s">
        <v>2</v>
      </c>
      <c r="B3" s="76"/>
      <c r="C3" s="1">
        <v>145000</v>
      </c>
      <c r="D3" s="77"/>
      <c r="E3" s="78"/>
      <c r="F3" s="81"/>
      <c r="G3" s="82"/>
      <c r="H3" s="85"/>
      <c r="I3" s="86"/>
      <c r="J3" s="86"/>
      <c r="K3" s="86"/>
      <c r="L3" s="87"/>
      <c r="M3" s="85"/>
      <c r="N3" s="86"/>
      <c r="O3" s="87"/>
    </row>
    <row r="4" spans="1:15" s="7" customFormat="1" ht="18" customHeight="1">
      <c r="A4" s="64" t="s">
        <v>28</v>
      </c>
      <c r="B4" s="88"/>
      <c r="C4" s="2"/>
      <c r="D4" s="79"/>
      <c r="E4" s="80"/>
      <c r="F4" s="83"/>
      <c r="G4" s="84"/>
      <c r="H4" s="85"/>
      <c r="I4" s="86"/>
      <c r="J4" s="86"/>
      <c r="K4" s="86"/>
      <c r="L4" s="87"/>
      <c r="M4" s="85"/>
      <c r="N4" s="86"/>
      <c r="O4" s="87"/>
    </row>
    <row r="5" spans="1:15" s="7" customFormat="1" ht="18" customHeight="1">
      <c r="A5" s="64" t="s">
        <v>32</v>
      </c>
      <c r="B5" s="88"/>
      <c r="C5" s="2">
        <v>36372</v>
      </c>
      <c r="D5" s="79"/>
      <c r="E5" s="80"/>
      <c r="F5" s="83"/>
      <c r="G5" s="84"/>
      <c r="H5" s="85"/>
      <c r="I5" s="86"/>
      <c r="J5" s="86"/>
      <c r="K5" s="86"/>
      <c r="L5" s="87"/>
      <c r="M5" s="85"/>
      <c r="N5" s="86"/>
      <c r="O5" s="87"/>
    </row>
    <row r="6" spans="1:15" s="7" customFormat="1" ht="15" customHeight="1">
      <c r="A6" s="64" t="s">
        <v>4</v>
      </c>
      <c r="B6" s="19" t="s">
        <v>5</v>
      </c>
      <c r="C6" s="20">
        <f>IF(Salaire_brut&gt;Plafond_SS,Plafond_SS,Salaire_brut)</f>
        <v>36372</v>
      </c>
      <c r="D6" s="39"/>
      <c r="E6" s="21">
        <f>ROUND(C6*D6/100,2)</f>
        <v>0</v>
      </c>
      <c r="F6" s="40"/>
      <c r="G6" s="22">
        <f>ROUND(C6*F6/100,2)</f>
        <v>0</v>
      </c>
      <c r="H6" s="85"/>
      <c r="I6" s="86"/>
      <c r="J6" s="86"/>
      <c r="K6" s="86"/>
      <c r="L6" s="87"/>
      <c r="M6" s="85"/>
      <c r="N6" s="86"/>
      <c r="O6" s="87"/>
    </row>
    <row r="7" spans="1:15" s="7" customFormat="1" ht="15" customHeight="1">
      <c r="A7" s="64"/>
      <c r="B7" s="19" t="s">
        <v>6</v>
      </c>
      <c r="C7" s="20">
        <f>IF(Salaire_brut&gt;Plafond_SS,MIN(Salaire_brut-Plafond_SS,Plafond_SS*3),0)</f>
        <v>108628</v>
      </c>
      <c r="D7" s="39">
        <v>4</v>
      </c>
      <c r="E7" s="21">
        <f>ROUND(C7*D7/100,2)</f>
        <v>4345.12</v>
      </c>
      <c r="F7" s="40">
        <v>8</v>
      </c>
      <c r="G7" s="22">
        <f>ROUND(C7*F7/100,2)</f>
        <v>8690.24</v>
      </c>
      <c r="H7" s="85"/>
      <c r="I7" s="86"/>
      <c r="J7" s="86"/>
      <c r="K7" s="86"/>
      <c r="L7" s="87"/>
      <c r="M7" s="85"/>
      <c r="N7" s="86"/>
      <c r="O7" s="87"/>
    </row>
    <row r="8" spans="1:15" s="7" customFormat="1" ht="15" customHeight="1">
      <c r="A8" s="64"/>
      <c r="B8" s="19" t="s">
        <v>7</v>
      </c>
      <c r="C8" s="20">
        <f>IF(Salaire_brut&gt;Plafond_SS*4,Salaire_brut-Plafond_SS*4,0)</f>
        <v>0</v>
      </c>
      <c r="D8" s="39">
        <v>4</v>
      </c>
      <c r="E8" s="21">
        <f>ROUND(C8*D8/100,2)</f>
        <v>0</v>
      </c>
      <c r="F8" s="40">
        <v>8</v>
      </c>
      <c r="G8" s="22">
        <f>ROUND(C8*F8/100,2)</f>
        <v>0</v>
      </c>
      <c r="H8" s="85"/>
      <c r="I8" s="86"/>
      <c r="J8" s="86"/>
      <c r="K8" s="86"/>
      <c r="L8" s="87"/>
      <c r="M8" s="85"/>
      <c r="N8" s="86"/>
      <c r="O8" s="87"/>
    </row>
    <row r="9" spans="1:15" s="33" customFormat="1" ht="15" customHeight="1">
      <c r="A9" s="64"/>
      <c r="B9" s="23" t="s">
        <v>8</v>
      </c>
      <c r="C9" s="53"/>
      <c r="D9" s="54"/>
      <c r="E9" s="24">
        <f>SUM(E6:E8)</f>
        <v>4345.12</v>
      </c>
      <c r="F9" s="25"/>
      <c r="G9" s="26">
        <f>SUM(G6:G8)</f>
        <v>8690.24</v>
      </c>
      <c r="H9" s="27">
        <f>E9+G9</f>
        <v>13035.36</v>
      </c>
      <c r="I9" s="28">
        <f>MAX(MIN(8%*Salaire_brut,Plafond_SS*8*8%)-AbondPERCO,0)</f>
        <v>11600</v>
      </c>
      <c r="J9" s="29">
        <f>MAX(0,H9-I9)</f>
        <v>1435.3600000000006</v>
      </c>
      <c r="K9" s="30">
        <f>IF(H9=0,0,ROUND(J9*E9/H9,2))</f>
        <v>478.45</v>
      </c>
      <c r="L9" s="31">
        <f>J9-K9</f>
        <v>956.9100000000005</v>
      </c>
      <c r="M9" s="27">
        <f>G9</f>
        <v>8690.24</v>
      </c>
      <c r="N9" s="28">
        <f>MAX(MAX((Plafond_SS*5%),MIN(Salaire_brut,Plafond_SS*5)*5%)-AbondPERCO,0)</f>
        <v>7250</v>
      </c>
      <c r="O9" s="32">
        <f>MAX(0,M9-N9)</f>
        <v>1440.2399999999998</v>
      </c>
    </row>
    <row r="10" spans="1:15" s="7" customFormat="1" ht="15" customHeight="1">
      <c r="A10" s="64" t="s">
        <v>11</v>
      </c>
      <c r="B10" s="19" t="s">
        <v>5</v>
      </c>
      <c r="C10" s="20">
        <f>IF(Salaire_brut&gt;Plafond_SS,Plafond_SS,Salaire_brut)</f>
        <v>36372</v>
      </c>
      <c r="D10" s="39">
        <v>0.97</v>
      </c>
      <c r="E10" s="21">
        <f aca="true" t="shared" si="0" ref="E10:E15">ROUND(C10*D10/100,2)</f>
        <v>352.81</v>
      </c>
      <c r="F10" s="40">
        <v>1.95</v>
      </c>
      <c r="G10" s="22">
        <f aca="true" t="shared" si="1" ref="G10:G15">ROUND(C10*F10/100,2)</f>
        <v>709.25</v>
      </c>
      <c r="H10" s="65"/>
      <c r="I10" s="54"/>
      <c r="J10" s="54"/>
      <c r="K10" s="54"/>
      <c r="L10" s="66"/>
      <c r="M10" s="65"/>
      <c r="N10" s="54"/>
      <c r="O10" s="66"/>
    </row>
    <row r="11" spans="1:15" s="7" customFormat="1" ht="15" customHeight="1">
      <c r="A11" s="64"/>
      <c r="B11" s="19" t="s">
        <v>6</v>
      </c>
      <c r="C11" s="20">
        <f>IF(Salaire_brut&gt;Plafond_SS,MIN(Salaire_brut-Plafond_SS,Plafond_SS*3),0)</f>
        <v>108628</v>
      </c>
      <c r="D11" s="39">
        <v>2.23</v>
      </c>
      <c r="E11" s="21">
        <f t="shared" si="0"/>
        <v>2422.4</v>
      </c>
      <c r="F11" s="40">
        <v>2.23</v>
      </c>
      <c r="G11" s="22">
        <f t="shared" si="1"/>
        <v>2422.4</v>
      </c>
      <c r="H11" s="65"/>
      <c r="I11" s="54"/>
      <c r="J11" s="54"/>
      <c r="K11" s="54"/>
      <c r="L11" s="66"/>
      <c r="M11" s="65"/>
      <c r="N11" s="54"/>
      <c r="O11" s="66"/>
    </row>
    <row r="12" spans="1:15" s="7" customFormat="1" ht="15" customHeight="1">
      <c r="A12" s="64"/>
      <c r="B12" s="19" t="s">
        <v>7</v>
      </c>
      <c r="C12" s="20">
        <f>IF(Salaire_brut&gt;Plafond_SS*4,Salaire_brut-Plafond_SS*4,0)</f>
        <v>0</v>
      </c>
      <c r="D12" s="39">
        <v>2.23</v>
      </c>
      <c r="E12" s="21">
        <f t="shared" si="0"/>
        <v>0</v>
      </c>
      <c r="F12" s="40">
        <v>2.23</v>
      </c>
      <c r="G12" s="22">
        <f t="shared" si="1"/>
        <v>0</v>
      </c>
      <c r="H12" s="65"/>
      <c r="I12" s="54"/>
      <c r="J12" s="54"/>
      <c r="K12" s="54"/>
      <c r="L12" s="66"/>
      <c r="M12" s="65"/>
      <c r="N12" s="54"/>
      <c r="O12" s="66"/>
    </row>
    <row r="13" spans="1:15" s="7" customFormat="1" ht="15" customHeight="1">
      <c r="A13" s="64" t="s">
        <v>22</v>
      </c>
      <c r="B13" s="19" t="s">
        <v>5</v>
      </c>
      <c r="C13" s="20">
        <f>IF(Salaire_brut&gt;Plafond_SS,Plafond_SS,Salaire_brut)</f>
        <v>36372</v>
      </c>
      <c r="D13" s="39">
        <v>1.207</v>
      </c>
      <c r="E13" s="21">
        <f t="shared" si="0"/>
        <v>439.01</v>
      </c>
      <c r="F13" s="40">
        <v>3.623</v>
      </c>
      <c r="G13" s="22">
        <f t="shared" si="1"/>
        <v>1317.76</v>
      </c>
      <c r="H13" s="65"/>
      <c r="I13" s="54"/>
      <c r="J13" s="54"/>
      <c r="K13" s="54"/>
      <c r="L13" s="66"/>
      <c r="M13" s="65"/>
      <c r="N13" s="54"/>
      <c r="O13" s="66"/>
    </row>
    <row r="14" spans="1:15" s="7" customFormat="1" ht="15" customHeight="1">
      <c r="A14" s="64"/>
      <c r="B14" s="19" t="s">
        <v>6</v>
      </c>
      <c r="C14" s="20">
        <f>IF(Salaire_brut&gt;Plafond_SS,MIN(Salaire_brut-Plafond_SS,Plafond_SS*3),0)</f>
        <v>108628</v>
      </c>
      <c r="D14" s="39"/>
      <c r="E14" s="21">
        <f t="shared" si="0"/>
        <v>0</v>
      </c>
      <c r="F14" s="40"/>
      <c r="G14" s="22">
        <f t="shared" si="1"/>
        <v>0</v>
      </c>
      <c r="H14" s="65"/>
      <c r="I14" s="54"/>
      <c r="J14" s="54"/>
      <c r="K14" s="54"/>
      <c r="L14" s="66"/>
      <c r="M14" s="65"/>
      <c r="N14" s="54"/>
      <c r="O14" s="66"/>
    </row>
    <row r="15" spans="1:15" s="7" customFormat="1" ht="15" customHeight="1">
      <c r="A15" s="64"/>
      <c r="B15" s="19" t="s">
        <v>7</v>
      </c>
      <c r="C15" s="20">
        <f>IF(Salaire_brut&gt;Plafond_SS*4,Salaire_brut-Plafond_SS*4,0)</f>
        <v>0</v>
      </c>
      <c r="D15" s="39"/>
      <c r="E15" s="21">
        <f t="shared" si="0"/>
        <v>0</v>
      </c>
      <c r="F15" s="40"/>
      <c r="G15" s="22">
        <f t="shared" si="1"/>
        <v>0</v>
      </c>
      <c r="H15" s="65"/>
      <c r="I15" s="54"/>
      <c r="J15" s="54"/>
      <c r="K15" s="54"/>
      <c r="L15" s="66"/>
      <c r="M15" s="65"/>
      <c r="N15" s="54"/>
      <c r="O15" s="66"/>
    </row>
    <row r="16" spans="1:15" s="7" customFormat="1" ht="15" customHeight="1">
      <c r="A16" s="64"/>
      <c r="B16" s="19" t="s">
        <v>23</v>
      </c>
      <c r="C16" s="67"/>
      <c r="D16" s="68"/>
      <c r="E16" s="37"/>
      <c r="F16" s="34"/>
      <c r="G16" s="38"/>
      <c r="H16" s="65"/>
      <c r="I16" s="54"/>
      <c r="J16" s="54"/>
      <c r="K16" s="54"/>
      <c r="L16" s="66"/>
      <c r="M16" s="65"/>
      <c r="N16" s="54"/>
      <c r="O16" s="66"/>
    </row>
    <row r="17" spans="1:15" s="33" customFormat="1" ht="18" customHeight="1">
      <c r="A17" s="51" t="s">
        <v>24</v>
      </c>
      <c r="B17" s="52"/>
      <c r="C17" s="53"/>
      <c r="D17" s="54"/>
      <c r="E17" s="24">
        <f>SUM(E10:E16)</f>
        <v>3214.2200000000003</v>
      </c>
      <c r="F17" s="41"/>
      <c r="G17" s="26">
        <f>SUM(G10:G16)</f>
        <v>4449.41</v>
      </c>
      <c r="H17" s="27">
        <f>E17+G17</f>
        <v>7663.63</v>
      </c>
      <c r="I17" s="28">
        <f>MIN((7%*Plafond_SS)+(3%*Salaire_brut),3%*8*Plafond_SS)</f>
        <v>6896.040000000001</v>
      </c>
      <c r="J17" s="29">
        <f>MAX(0,H17-I17)</f>
        <v>767.5899999999992</v>
      </c>
      <c r="K17" s="30">
        <f>IF(H17=0,0,ROUND(J17*E17/H17,2))</f>
        <v>321.94</v>
      </c>
      <c r="L17" s="31">
        <f>J17-K17</f>
        <v>445.64999999999924</v>
      </c>
      <c r="M17" s="27">
        <f>G17</f>
        <v>4449.41</v>
      </c>
      <c r="N17" s="28">
        <f>MIN((6%*Plafond_SS)+(1.5%*Salaire_brut),12%*Plafond_SS)</f>
        <v>4357.32</v>
      </c>
      <c r="O17" s="32">
        <f>MAX(0,M17-N17)</f>
        <v>92.09000000000015</v>
      </c>
    </row>
    <row r="18" spans="1:15" s="45" customFormat="1" ht="18" customHeight="1" thickBot="1">
      <c r="A18" s="55" t="s">
        <v>26</v>
      </c>
      <c r="B18" s="56"/>
      <c r="C18" s="57"/>
      <c r="D18" s="58"/>
      <c r="E18" s="58"/>
      <c r="F18" s="58"/>
      <c r="G18" s="59"/>
      <c r="H18" s="44"/>
      <c r="I18" s="42"/>
      <c r="J18" s="43"/>
      <c r="K18" s="46">
        <f>K9+K17</f>
        <v>800.39</v>
      </c>
      <c r="L18" s="46">
        <f>L9+L17</f>
        <v>1402.5599999999997</v>
      </c>
      <c r="M18" s="44"/>
      <c r="N18" s="42"/>
      <c r="O18" s="47">
        <f>O9+O17</f>
        <v>1532.33</v>
      </c>
    </row>
    <row r="19" spans="1:15" ht="16.5" customHeight="1">
      <c r="A19" s="60" t="s">
        <v>25</v>
      </c>
      <c r="B19" s="62" t="s">
        <v>29</v>
      </c>
      <c r="C19" s="62"/>
      <c r="D19" s="62"/>
      <c r="E19" s="62"/>
      <c r="F19" s="62"/>
      <c r="G19" s="62"/>
      <c r="H19" s="62"/>
      <c r="I19" s="62"/>
      <c r="J19" s="62"/>
      <c r="K19" s="62"/>
      <c r="L19" s="62"/>
      <c r="M19" s="62"/>
      <c r="N19" s="62"/>
      <c r="O19" s="62"/>
    </row>
    <row r="20" spans="1:15" ht="16.5" customHeight="1">
      <c r="A20" s="61"/>
      <c r="B20" s="63"/>
      <c r="C20" s="63"/>
      <c r="D20" s="63"/>
      <c r="E20" s="63"/>
      <c r="F20" s="63"/>
      <c r="G20" s="63"/>
      <c r="H20" s="63"/>
      <c r="I20" s="63"/>
      <c r="J20" s="63"/>
      <c r="K20" s="63"/>
      <c r="L20" s="63"/>
      <c r="M20" s="63"/>
      <c r="N20" s="63"/>
      <c r="O20" s="63"/>
    </row>
    <row r="21" spans="1:15" ht="16.5" customHeight="1">
      <c r="A21" s="61"/>
      <c r="B21" s="63"/>
      <c r="C21" s="63"/>
      <c r="D21" s="63"/>
      <c r="E21" s="63"/>
      <c r="F21" s="63"/>
      <c r="G21" s="63"/>
      <c r="H21" s="63"/>
      <c r="I21" s="63"/>
      <c r="J21" s="63"/>
      <c r="K21" s="63"/>
      <c r="L21" s="63"/>
      <c r="M21" s="63"/>
      <c r="N21" s="63"/>
      <c r="O21" s="63"/>
    </row>
    <row r="22" spans="1:15" ht="16.5" customHeight="1">
      <c r="A22" s="61"/>
      <c r="B22" s="63"/>
      <c r="C22" s="63"/>
      <c r="D22" s="63"/>
      <c r="E22" s="63"/>
      <c r="F22" s="63"/>
      <c r="G22" s="63"/>
      <c r="H22" s="63"/>
      <c r="I22" s="63"/>
      <c r="J22" s="63"/>
      <c r="K22" s="63"/>
      <c r="L22" s="63"/>
      <c r="M22" s="63"/>
      <c r="N22" s="63"/>
      <c r="O22" s="63"/>
    </row>
    <row r="23" spans="1:15" ht="16.5" customHeight="1">
      <c r="A23" s="61"/>
      <c r="B23" s="63"/>
      <c r="C23" s="63"/>
      <c r="D23" s="63"/>
      <c r="E23" s="63"/>
      <c r="F23" s="63"/>
      <c r="G23" s="63"/>
      <c r="H23" s="63"/>
      <c r="I23" s="63"/>
      <c r="J23" s="63"/>
      <c r="K23" s="63"/>
      <c r="L23" s="63"/>
      <c r="M23" s="63"/>
      <c r="N23" s="63"/>
      <c r="O23" s="63"/>
    </row>
    <row r="24" spans="1:15" ht="16.5" customHeight="1">
      <c r="A24" s="61"/>
      <c r="B24" s="63"/>
      <c r="C24" s="63"/>
      <c r="D24" s="63"/>
      <c r="E24" s="63"/>
      <c r="F24" s="63"/>
      <c r="G24" s="63"/>
      <c r="H24" s="63"/>
      <c r="I24" s="63"/>
      <c r="J24" s="63"/>
      <c r="K24" s="63"/>
      <c r="L24" s="63"/>
      <c r="M24" s="63"/>
      <c r="N24" s="63"/>
      <c r="O24" s="63"/>
    </row>
    <row r="25" spans="1:15" ht="16.5" customHeight="1">
      <c r="A25" s="61"/>
      <c r="B25" s="63"/>
      <c r="C25" s="63"/>
      <c r="D25" s="63"/>
      <c r="E25" s="63"/>
      <c r="F25" s="63"/>
      <c r="G25" s="63"/>
      <c r="H25" s="63"/>
      <c r="I25" s="63"/>
      <c r="J25" s="63"/>
      <c r="K25" s="63"/>
      <c r="L25" s="63"/>
      <c r="M25" s="63"/>
      <c r="N25" s="63"/>
      <c r="O25" s="63"/>
    </row>
    <row r="26" spans="1:15" ht="16.5" customHeight="1">
      <c r="A26" s="61"/>
      <c r="B26" s="63"/>
      <c r="C26" s="63"/>
      <c r="D26" s="63"/>
      <c r="E26" s="63"/>
      <c r="F26" s="63"/>
      <c r="G26" s="63"/>
      <c r="H26" s="63"/>
      <c r="I26" s="63"/>
      <c r="J26" s="63"/>
      <c r="K26" s="63"/>
      <c r="L26" s="63"/>
      <c r="M26" s="63"/>
      <c r="N26" s="63"/>
      <c r="O26" s="63"/>
    </row>
    <row r="27" spans="1:15" ht="16.5" customHeight="1">
      <c r="A27" s="61"/>
      <c r="B27" s="63"/>
      <c r="C27" s="63"/>
      <c r="D27" s="63"/>
      <c r="E27" s="63"/>
      <c r="F27" s="63"/>
      <c r="G27" s="63"/>
      <c r="H27" s="63"/>
      <c r="I27" s="63"/>
      <c r="J27" s="63"/>
      <c r="K27" s="63"/>
      <c r="L27" s="63"/>
      <c r="M27" s="63"/>
      <c r="N27" s="63"/>
      <c r="O27" s="63"/>
    </row>
    <row r="28" spans="1:15" ht="16.5" customHeight="1">
      <c r="A28" s="61"/>
      <c r="B28" s="63"/>
      <c r="C28" s="63"/>
      <c r="D28" s="63"/>
      <c r="E28" s="63"/>
      <c r="F28" s="63"/>
      <c r="G28" s="63"/>
      <c r="H28" s="63"/>
      <c r="I28" s="63"/>
      <c r="J28" s="63"/>
      <c r="K28" s="63"/>
      <c r="L28" s="63"/>
      <c r="M28" s="63"/>
      <c r="N28" s="63"/>
      <c r="O28" s="63"/>
    </row>
    <row r="29" spans="1:15" ht="16.5" customHeight="1">
      <c r="A29" s="61"/>
      <c r="B29" s="63"/>
      <c r="C29" s="63"/>
      <c r="D29" s="63"/>
      <c r="E29" s="63"/>
      <c r="F29" s="63"/>
      <c r="G29" s="63"/>
      <c r="H29" s="63"/>
      <c r="I29" s="63"/>
      <c r="J29" s="63"/>
      <c r="K29" s="63"/>
      <c r="L29" s="63"/>
      <c r="M29" s="63"/>
      <c r="N29" s="63"/>
      <c r="O29" s="63"/>
    </row>
  </sheetData>
  <sheetProtection sheet="1" objects="1" scenarios="1"/>
  <mergeCells count="22">
    <mergeCell ref="A17:B17"/>
    <mergeCell ref="C17:D17"/>
    <mergeCell ref="A18:B18"/>
    <mergeCell ref="C18:G18"/>
    <mergeCell ref="A19:A29"/>
    <mergeCell ref="B19:O29"/>
    <mergeCell ref="C9:D9"/>
    <mergeCell ref="A10:A12"/>
    <mergeCell ref="H10:L16"/>
    <mergeCell ref="M10:O16"/>
    <mergeCell ref="A13:A16"/>
    <mergeCell ref="C16:D16"/>
    <mergeCell ref="H1:L1"/>
    <mergeCell ref="M1:O1"/>
    <mergeCell ref="A3:B3"/>
    <mergeCell ref="D3:E5"/>
    <mergeCell ref="F3:G5"/>
    <mergeCell ref="H3:L8"/>
    <mergeCell ref="M3:O8"/>
    <mergeCell ref="A4:B4"/>
    <mergeCell ref="A5:B5"/>
    <mergeCell ref="A6:A9"/>
  </mergeCells>
  <printOptions horizontalCentered="1"/>
  <pageMargins left="0.3937007874015748" right="0.3937007874015748" top="0.984251968503937" bottom="0.984251968503937" header="0.5118110236220472" footer="0.5118110236220472"/>
  <pageSetup fitToHeight="0" fitToWidth="1" orientation="landscape" paperSize="9" scale="93" r:id="rId1"/>
  <headerFooter alignWithMargins="0">
    <oddHeader>&amp;C&amp;"Arial,Gras"&amp;12Retraite et Prévoyance - Réintégration des excédents</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O29"/>
  <sheetViews>
    <sheetView zoomScalePageLayoutView="0" workbookViewId="0" topLeftCell="A1">
      <selection activeCell="F10" sqref="F10:F13"/>
    </sheetView>
  </sheetViews>
  <sheetFormatPr defaultColWidth="11.421875" defaultRowHeight="12.75"/>
  <cols>
    <col min="1" max="1" width="23.140625" style="35" customWidth="1"/>
    <col min="2" max="2" width="6.140625" style="36" customWidth="1"/>
    <col min="3" max="3" width="11.00390625" style="35" customWidth="1"/>
    <col min="4" max="4" width="6.8515625" style="35" customWidth="1"/>
    <col min="5" max="5" width="9.421875" style="35" customWidth="1"/>
    <col min="6" max="6" width="7.140625" style="35" customWidth="1"/>
    <col min="7" max="7" width="9.421875" style="35" customWidth="1"/>
    <col min="8" max="8" width="9.8515625" style="35" customWidth="1"/>
    <col min="9" max="10" width="9.7109375" style="35" customWidth="1"/>
    <col min="11" max="12" width="10.28125" style="35" customWidth="1"/>
    <col min="13" max="13" width="9.8515625" style="35" customWidth="1"/>
    <col min="14" max="15" width="9.7109375" style="35" customWidth="1"/>
    <col min="16" max="16384" width="11.421875" style="35" customWidth="1"/>
  </cols>
  <sheetData>
    <row r="1" spans="1:15" s="7" customFormat="1" ht="21" customHeight="1">
      <c r="A1" s="3"/>
      <c r="B1" s="4"/>
      <c r="C1" s="5" t="s">
        <v>19</v>
      </c>
      <c r="D1" s="5"/>
      <c r="E1" s="5"/>
      <c r="F1" s="5"/>
      <c r="G1" s="6"/>
      <c r="H1" s="69" t="s">
        <v>15</v>
      </c>
      <c r="I1" s="70"/>
      <c r="J1" s="70"/>
      <c r="K1" s="70"/>
      <c r="L1" s="71"/>
      <c r="M1" s="72" t="s">
        <v>20</v>
      </c>
      <c r="N1" s="73"/>
      <c r="O1" s="74"/>
    </row>
    <row r="2" spans="1:15" s="18" customFormat="1" ht="23.25" customHeight="1">
      <c r="A2" s="8" t="s">
        <v>21</v>
      </c>
      <c r="B2" s="9"/>
      <c r="C2" s="9" t="s">
        <v>3</v>
      </c>
      <c r="D2" s="10" t="s">
        <v>0</v>
      </c>
      <c r="E2" s="9" t="s">
        <v>9</v>
      </c>
      <c r="F2" s="10" t="s">
        <v>1</v>
      </c>
      <c r="G2" s="11" t="s">
        <v>10</v>
      </c>
      <c r="H2" s="12" t="s">
        <v>13</v>
      </c>
      <c r="I2" s="13" t="s">
        <v>12</v>
      </c>
      <c r="J2" s="13" t="s">
        <v>14</v>
      </c>
      <c r="K2" s="13" t="s">
        <v>16</v>
      </c>
      <c r="L2" s="14" t="s">
        <v>17</v>
      </c>
      <c r="M2" s="15" t="s">
        <v>18</v>
      </c>
      <c r="N2" s="16" t="s">
        <v>31</v>
      </c>
      <c r="O2" s="17" t="s">
        <v>14</v>
      </c>
    </row>
    <row r="3" spans="1:15" s="7" customFormat="1" ht="18" customHeight="1">
      <c r="A3" s="75" t="s">
        <v>2</v>
      </c>
      <c r="B3" s="76"/>
      <c r="C3" s="1">
        <v>145000</v>
      </c>
      <c r="D3" s="77"/>
      <c r="E3" s="78"/>
      <c r="F3" s="81"/>
      <c r="G3" s="82"/>
      <c r="H3" s="85"/>
      <c r="I3" s="86"/>
      <c r="J3" s="86"/>
      <c r="K3" s="86"/>
      <c r="L3" s="87"/>
      <c r="M3" s="85"/>
      <c r="N3" s="86"/>
      <c r="O3" s="87"/>
    </row>
    <row r="4" spans="1:15" s="7" customFormat="1" ht="18" customHeight="1">
      <c r="A4" s="64" t="s">
        <v>28</v>
      </c>
      <c r="B4" s="88"/>
      <c r="C4" s="2">
        <v>0</v>
      </c>
      <c r="D4" s="79"/>
      <c r="E4" s="80"/>
      <c r="F4" s="83"/>
      <c r="G4" s="84"/>
      <c r="H4" s="85"/>
      <c r="I4" s="86"/>
      <c r="J4" s="86"/>
      <c r="K4" s="86"/>
      <c r="L4" s="87"/>
      <c r="M4" s="85"/>
      <c r="N4" s="86"/>
      <c r="O4" s="87"/>
    </row>
    <row r="5" spans="1:15" s="7" customFormat="1" ht="18" customHeight="1">
      <c r="A5" s="64" t="s">
        <v>30</v>
      </c>
      <c r="B5" s="88"/>
      <c r="C5" s="2">
        <v>35352</v>
      </c>
      <c r="D5" s="79"/>
      <c r="E5" s="80"/>
      <c r="F5" s="83"/>
      <c r="G5" s="84"/>
      <c r="H5" s="85"/>
      <c r="I5" s="86"/>
      <c r="J5" s="86"/>
      <c r="K5" s="86"/>
      <c r="L5" s="87"/>
      <c r="M5" s="85"/>
      <c r="N5" s="86"/>
      <c r="O5" s="87"/>
    </row>
    <row r="6" spans="1:15" s="7" customFormat="1" ht="15" customHeight="1">
      <c r="A6" s="64" t="s">
        <v>4</v>
      </c>
      <c r="B6" s="19" t="s">
        <v>5</v>
      </c>
      <c r="C6" s="20">
        <f>IF(Salaire_brut&gt;Plafond_SS,Plafond_SS,Salaire_brut)</f>
        <v>35352</v>
      </c>
      <c r="D6" s="39"/>
      <c r="E6" s="21">
        <f>ROUND(C6*D6/100,2)</f>
        <v>0</v>
      </c>
      <c r="F6" s="40"/>
      <c r="G6" s="22">
        <f>ROUND(C6*F6/100,2)</f>
        <v>0</v>
      </c>
      <c r="H6" s="85"/>
      <c r="I6" s="86"/>
      <c r="J6" s="86"/>
      <c r="K6" s="86"/>
      <c r="L6" s="87"/>
      <c r="M6" s="85"/>
      <c r="N6" s="86"/>
      <c r="O6" s="87"/>
    </row>
    <row r="7" spans="1:15" s="7" customFormat="1" ht="15" customHeight="1">
      <c r="A7" s="64"/>
      <c r="B7" s="19" t="s">
        <v>6</v>
      </c>
      <c r="C7" s="20">
        <f>IF(Salaire_brut&gt;Plafond_SS,MIN(Salaire_brut-Plafond_SS,Plafond_SS*3),0)</f>
        <v>106056</v>
      </c>
      <c r="D7" s="39">
        <v>4</v>
      </c>
      <c r="E7" s="21">
        <f>ROUND(C7*D7/100,2)</f>
        <v>4242.24</v>
      </c>
      <c r="F7" s="40">
        <v>8</v>
      </c>
      <c r="G7" s="22">
        <f>ROUND(C7*F7/100,2)</f>
        <v>8484.48</v>
      </c>
      <c r="H7" s="85"/>
      <c r="I7" s="86"/>
      <c r="J7" s="86"/>
      <c r="K7" s="86"/>
      <c r="L7" s="87"/>
      <c r="M7" s="85"/>
      <c r="N7" s="86"/>
      <c r="O7" s="87"/>
    </row>
    <row r="8" spans="1:15" s="7" customFormat="1" ht="15" customHeight="1">
      <c r="A8" s="64"/>
      <c r="B8" s="19" t="s">
        <v>7</v>
      </c>
      <c r="C8" s="20">
        <f>IF(Salaire_brut&gt;Plafond_SS*4,Salaire_brut-Plafond_SS*4,0)</f>
        <v>3592</v>
      </c>
      <c r="D8" s="39">
        <v>4</v>
      </c>
      <c r="E8" s="21">
        <f>ROUND(C8*D8/100,2)</f>
        <v>143.68</v>
      </c>
      <c r="F8" s="40">
        <v>8</v>
      </c>
      <c r="G8" s="22">
        <f>ROUND(C8*F8/100,2)</f>
        <v>287.36</v>
      </c>
      <c r="H8" s="85"/>
      <c r="I8" s="86"/>
      <c r="J8" s="86"/>
      <c r="K8" s="86"/>
      <c r="L8" s="87"/>
      <c r="M8" s="85"/>
      <c r="N8" s="86"/>
      <c r="O8" s="87"/>
    </row>
    <row r="9" spans="1:15" s="33" customFormat="1" ht="15" customHeight="1">
      <c r="A9" s="64"/>
      <c r="B9" s="23" t="s">
        <v>8</v>
      </c>
      <c r="C9" s="53"/>
      <c r="D9" s="54"/>
      <c r="E9" s="24">
        <f>SUM(E6:E8)</f>
        <v>4385.92</v>
      </c>
      <c r="F9" s="25"/>
      <c r="G9" s="26">
        <f>SUM(G6:G8)</f>
        <v>8771.84</v>
      </c>
      <c r="H9" s="27">
        <f>E9+G9</f>
        <v>13157.76</v>
      </c>
      <c r="I9" s="28">
        <f>MAX(MIN(8%*Salaire_brut,Plafond_SS*8*8%)-AbondPERCO,0)</f>
        <v>11600</v>
      </c>
      <c r="J9" s="29">
        <f>MAX(0,H9-I9)</f>
        <v>1557.7600000000002</v>
      </c>
      <c r="K9" s="30">
        <f>ROUND(J9*E9/H9,2)</f>
        <v>519.25</v>
      </c>
      <c r="L9" s="31">
        <f>J9-K9</f>
        <v>1038.5100000000002</v>
      </c>
      <c r="M9" s="27">
        <f>G9</f>
        <v>8771.84</v>
      </c>
      <c r="N9" s="28">
        <f>MAX(MAX((Plafond_SS*5%),MIN(Salaire_brut,Plafond_SS*5)*5%)-AbondPERCO,0)</f>
        <v>7250</v>
      </c>
      <c r="O9" s="32">
        <f>MAX(0,M9-N9)</f>
        <v>1521.8400000000001</v>
      </c>
    </row>
    <row r="10" spans="1:15" s="7" customFormat="1" ht="15" customHeight="1">
      <c r="A10" s="64" t="s">
        <v>11</v>
      </c>
      <c r="B10" s="19" t="s">
        <v>5</v>
      </c>
      <c r="C10" s="20">
        <f>IF(Salaire_brut&gt;Plafond_SS,Plafond_SS,Salaire_brut)</f>
        <v>35352</v>
      </c>
      <c r="D10" s="39">
        <v>0.97</v>
      </c>
      <c r="E10" s="21">
        <f aca="true" t="shared" si="0" ref="E10:E15">ROUND(C10*D10/100,2)</f>
        <v>342.91</v>
      </c>
      <c r="F10" s="40">
        <v>1.95</v>
      </c>
      <c r="G10" s="22">
        <f aca="true" t="shared" si="1" ref="G10:G15">ROUND(C10*F10/100,2)</f>
        <v>689.36</v>
      </c>
      <c r="H10" s="65"/>
      <c r="I10" s="54"/>
      <c r="J10" s="54"/>
      <c r="K10" s="54"/>
      <c r="L10" s="66"/>
      <c r="M10" s="65"/>
      <c r="N10" s="54"/>
      <c r="O10" s="66"/>
    </row>
    <row r="11" spans="1:15" s="7" customFormat="1" ht="15" customHeight="1">
      <c r="A11" s="64"/>
      <c r="B11" s="19" t="s">
        <v>6</v>
      </c>
      <c r="C11" s="20">
        <f>IF(Salaire_brut&gt;Plafond_SS,MIN(Salaire_brut-Plafond_SS,Plafond_SS*3),0)</f>
        <v>106056</v>
      </c>
      <c r="D11" s="39">
        <v>2.23</v>
      </c>
      <c r="E11" s="21">
        <f t="shared" si="0"/>
        <v>2365.05</v>
      </c>
      <c r="F11" s="40">
        <v>2.23</v>
      </c>
      <c r="G11" s="22">
        <f t="shared" si="1"/>
        <v>2365.05</v>
      </c>
      <c r="H11" s="65"/>
      <c r="I11" s="54"/>
      <c r="J11" s="54"/>
      <c r="K11" s="54"/>
      <c r="L11" s="66"/>
      <c r="M11" s="65"/>
      <c r="N11" s="54"/>
      <c r="O11" s="66"/>
    </row>
    <row r="12" spans="1:15" s="7" customFormat="1" ht="15" customHeight="1">
      <c r="A12" s="64"/>
      <c r="B12" s="19" t="s">
        <v>7</v>
      </c>
      <c r="C12" s="20">
        <f>IF(Salaire_brut&gt;Plafond_SS*4,Salaire_brut-Plafond_SS*4,0)</f>
        <v>3592</v>
      </c>
      <c r="D12" s="39">
        <v>2.23</v>
      </c>
      <c r="E12" s="21">
        <f t="shared" si="0"/>
        <v>80.1</v>
      </c>
      <c r="F12" s="40">
        <v>2.23</v>
      </c>
      <c r="G12" s="22">
        <f t="shared" si="1"/>
        <v>80.1</v>
      </c>
      <c r="H12" s="65"/>
      <c r="I12" s="54"/>
      <c r="J12" s="54"/>
      <c r="K12" s="54"/>
      <c r="L12" s="66"/>
      <c r="M12" s="65"/>
      <c r="N12" s="54"/>
      <c r="O12" s="66"/>
    </row>
    <row r="13" spans="1:15" s="7" customFormat="1" ht="15" customHeight="1">
      <c r="A13" s="64" t="s">
        <v>22</v>
      </c>
      <c r="B13" s="19" t="s">
        <v>5</v>
      </c>
      <c r="C13" s="20">
        <f>IF(Salaire_brut&gt;Plafond_SS,Plafond_SS,Salaire_brut)</f>
        <v>35352</v>
      </c>
      <c r="D13" s="39">
        <v>1.207</v>
      </c>
      <c r="E13" s="21">
        <f t="shared" si="0"/>
        <v>426.7</v>
      </c>
      <c r="F13" s="40">
        <v>3.623</v>
      </c>
      <c r="G13" s="22">
        <f t="shared" si="1"/>
        <v>1280.8</v>
      </c>
      <c r="H13" s="65"/>
      <c r="I13" s="54"/>
      <c r="J13" s="54"/>
      <c r="K13" s="54"/>
      <c r="L13" s="66"/>
      <c r="M13" s="65"/>
      <c r="N13" s="54"/>
      <c r="O13" s="66"/>
    </row>
    <row r="14" spans="1:15" s="7" customFormat="1" ht="15" customHeight="1">
      <c r="A14" s="64"/>
      <c r="B14" s="19" t="s">
        <v>6</v>
      </c>
      <c r="C14" s="20">
        <f>IF(Salaire_brut&gt;Plafond_SS,MIN(Salaire_brut-Plafond_SS,Plafond_SS*3),0)</f>
        <v>106056</v>
      </c>
      <c r="D14" s="39"/>
      <c r="E14" s="21">
        <f t="shared" si="0"/>
        <v>0</v>
      </c>
      <c r="F14" s="40"/>
      <c r="G14" s="22">
        <f t="shared" si="1"/>
        <v>0</v>
      </c>
      <c r="H14" s="65"/>
      <c r="I14" s="54"/>
      <c r="J14" s="54"/>
      <c r="K14" s="54"/>
      <c r="L14" s="66"/>
      <c r="M14" s="65"/>
      <c r="N14" s="54"/>
      <c r="O14" s="66"/>
    </row>
    <row r="15" spans="1:15" s="7" customFormat="1" ht="15" customHeight="1">
      <c r="A15" s="64"/>
      <c r="B15" s="19" t="s">
        <v>7</v>
      </c>
      <c r="C15" s="20">
        <f>IF(Salaire_brut&gt;Plafond_SS*4,Salaire_brut-Plafond_SS*4,0)</f>
        <v>3592</v>
      </c>
      <c r="D15" s="39"/>
      <c r="E15" s="21">
        <f t="shared" si="0"/>
        <v>0</v>
      </c>
      <c r="F15" s="40"/>
      <c r="G15" s="22">
        <f t="shared" si="1"/>
        <v>0</v>
      </c>
      <c r="H15" s="65"/>
      <c r="I15" s="54"/>
      <c r="J15" s="54"/>
      <c r="K15" s="54"/>
      <c r="L15" s="66"/>
      <c r="M15" s="65"/>
      <c r="N15" s="54"/>
      <c r="O15" s="66"/>
    </row>
    <row r="16" spans="1:15" s="7" customFormat="1" ht="15" customHeight="1">
      <c r="A16" s="64"/>
      <c r="B16" s="19" t="s">
        <v>23</v>
      </c>
      <c r="C16" s="67"/>
      <c r="D16" s="68"/>
      <c r="E16" s="37"/>
      <c r="F16" s="34"/>
      <c r="G16" s="38"/>
      <c r="H16" s="65"/>
      <c r="I16" s="54"/>
      <c r="J16" s="54"/>
      <c r="K16" s="54"/>
      <c r="L16" s="66"/>
      <c r="M16" s="65"/>
      <c r="N16" s="54"/>
      <c r="O16" s="66"/>
    </row>
    <row r="17" spans="1:15" s="33" customFormat="1" ht="18" customHeight="1">
      <c r="A17" s="51" t="s">
        <v>24</v>
      </c>
      <c r="B17" s="52"/>
      <c r="C17" s="53"/>
      <c r="D17" s="54"/>
      <c r="E17" s="24">
        <f>SUM(E10:E16)</f>
        <v>3214.7599999999998</v>
      </c>
      <c r="F17" s="41"/>
      <c r="G17" s="26">
        <f>SUM(G10:G16)</f>
        <v>4415.31</v>
      </c>
      <c r="H17" s="27">
        <f>E17+G17</f>
        <v>7630.07</v>
      </c>
      <c r="I17" s="28">
        <f>MIN((7%*Plafond_SS)+(3%*Salaire_brut),3%*8*Plafond_SS)</f>
        <v>6824.64</v>
      </c>
      <c r="J17" s="29">
        <f>MAX(0,H17-I17)</f>
        <v>805.4299999999994</v>
      </c>
      <c r="K17" s="30">
        <f>ROUND(J17*E17/H17,2)</f>
        <v>339.35</v>
      </c>
      <c r="L17" s="31">
        <f>J17-K17</f>
        <v>466.07999999999936</v>
      </c>
      <c r="M17" s="27">
        <f>G17</f>
        <v>4415.31</v>
      </c>
      <c r="N17" s="28">
        <f>MIN((6%*Plafond_SS)+(1.5%*Salaire_brut),12%*Plafond_SS)</f>
        <v>4242.24</v>
      </c>
      <c r="O17" s="32">
        <f>MAX(0,M17-N17)</f>
        <v>173.07000000000062</v>
      </c>
    </row>
    <row r="18" spans="1:15" s="45" customFormat="1" ht="18" customHeight="1" thickBot="1">
      <c r="A18" s="55" t="s">
        <v>26</v>
      </c>
      <c r="B18" s="56"/>
      <c r="C18" s="57"/>
      <c r="D18" s="58"/>
      <c r="E18" s="58"/>
      <c r="F18" s="58"/>
      <c r="G18" s="59"/>
      <c r="H18" s="44"/>
      <c r="I18" s="42"/>
      <c r="J18" s="43"/>
      <c r="K18" s="46">
        <f>K9+K17</f>
        <v>858.6</v>
      </c>
      <c r="L18" s="46">
        <f>L9+L17</f>
        <v>1504.5899999999997</v>
      </c>
      <c r="M18" s="44"/>
      <c r="N18" s="42"/>
      <c r="O18" s="47">
        <f>O9+O17</f>
        <v>1694.9100000000008</v>
      </c>
    </row>
    <row r="19" spans="1:15" ht="16.5" customHeight="1">
      <c r="A19" s="60" t="s">
        <v>25</v>
      </c>
      <c r="B19" s="62" t="s">
        <v>29</v>
      </c>
      <c r="C19" s="62"/>
      <c r="D19" s="62"/>
      <c r="E19" s="62"/>
      <c r="F19" s="62"/>
      <c r="G19" s="62"/>
      <c r="H19" s="62"/>
      <c r="I19" s="62"/>
      <c r="J19" s="62"/>
      <c r="K19" s="62"/>
      <c r="L19" s="62"/>
      <c r="M19" s="62"/>
      <c r="N19" s="62"/>
      <c r="O19" s="62"/>
    </row>
    <row r="20" spans="1:15" ht="16.5" customHeight="1">
      <c r="A20" s="61"/>
      <c r="B20" s="63"/>
      <c r="C20" s="63"/>
      <c r="D20" s="63"/>
      <c r="E20" s="63"/>
      <c r="F20" s="63"/>
      <c r="G20" s="63"/>
      <c r="H20" s="63"/>
      <c r="I20" s="63"/>
      <c r="J20" s="63"/>
      <c r="K20" s="63"/>
      <c r="L20" s="63"/>
      <c r="M20" s="63"/>
      <c r="N20" s="63"/>
      <c r="O20" s="63"/>
    </row>
    <row r="21" spans="1:15" ht="16.5" customHeight="1">
      <c r="A21" s="61"/>
      <c r="B21" s="63"/>
      <c r="C21" s="63"/>
      <c r="D21" s="63"/>
      <c r="E21" s="63"/>
      <c r="F21" s="63"/>
      <c r="G21" s="63"/>
      <c r="H21" s="63"/>
      <c r="I21" s="63"/>
      <c r="J21" s="63"/>
      <c r="K21" s="63"/>
      <c r="L21" s="63"/>
      <c r="M21" s="63"/>
      <c r="N21" s="63"/>
      <c r="O21" s="63"/>
    </row>
    <row r="22" spans="1:15" ht="16.5" customHeight="1">
      <c r="A22" s="61"/>
      <c r="B22" s="63"/>
      <c r="C22" s="63"/>
      <c r="D22" s="63"/>
      <c r="E22" s="63"/>
      <c r="F22" s="63"/>
      <c r="G22" s="63"/>
      <c r="H22" s="63"/>
      <c r="I22" s="63"/>
      <c r="J22" s="63"/>
      <c r="K22" s="63"/>
      <c r="L22" s="63"/>
      <c r="M22" s="63"/>
      <c r="N22" s="63"/>
      <c r="O22" s="63"/>
    </row>
    <row r="23" spans="1:15" ht="16.5" customHeight="1">
      <c r="A23" s="61"/>
      <c r="B23" s="63"/>
      <c r="C23" s="63"/>
      <c r="D23" s="63"/>
      <c r="E23" s="63"/>
      <c r="F23" s="63"/>
      <c r="G23" s="63"/>
      <c r="H23" s="63"/>
      <c r="I23" s="63"/>
      <c r="J23" s="63"/>
      <c r="K23" s="63"/>
      <c r="L23" s="63"/>
      <c r="M23" s="63"/>
      <c r="N23" s="63"/>
      <c r="O23" s="63"/>
    </row>
    <row r="24" spans="1:15" ht="16.5" customHeight="1">
      <c r="A24" s="61"/>
      <c r="B24" s="63"/>
      <c r="C24" s="63"/>
      <c r="D24" s="63"/>
      <c r="E24" s="63"/>
      <c r="F24" s="63"/>
      <c r="G24" s="63"/>
      <c r="H24" s="63"/>
      <c r="I24" s="63"/>
      <c r="J24" s="63"/>
      <c r="K24" s="63"/>
      <c r="L24" s="63"/>
      <c r="M24" s="63"/>
      <c r="N24" s="63"/>
      <c r="O24" s="63"/>
    </row>
    <row r="25" spans="1:15" ht="16.5" customHeight="1">
      <c r="A25" s="61"/>
      <c r="B25" s="63"/>
      <c r="C25" s="63"/>
      <c r="D25" s="63"/>
      <c r="E25" s="63"/>
      <c r="F25" s="63"/>
      <c r="G25" s="63"/>
      <c r="H25" s="63"/>
      <c r="I25" s="63"/>
      <c r="J25" s="63"/>
      <c r="K25" s="63"/>
      <c r="L25" s="63"/>
      <c r="M25" s="63"/>
      <c r="N25" s="63"/>
      <c r="O25" s="63"/>
    </row>
    <row r="26" spans="1:15" ht="16.5" customHeight="1">
      <c r="A26" s="61"/>
      <c r="B26" s="63"/>
      <c r="C26" s="63"/>
      <c r="D26" s="63"/>
      <c r="E26" s="63"/>
      <c r="F26" s="63"/>
      <c r="G26" s="63"/>
      <c r="H26" s="63"/>
      <c r="I26" s="63"/>
      <c r="J26" s="63"/>
      <c r="K26" s="63"/>
      <c r="L26" s="63"/>
      <c r="M26" s="63"/>
      <c r="N26" s="63"/>
      <c r="O26" s="63"/>
    </row>
    <row r="27" spans="1:15" ht="16.5" customHeight="1">
      <c r="A27" s="61"/>
      <c r="B27" s="63"/>
      <c r="C27" s="63"/>
      <c r="D27" s="63"/>
      <c r="E27" s="63"/>
      <c r="F27" s="63"/>
      <c r="G27" s="63"/>
      <c r="H27" s="63"/>
      <c r="I27" s="63"/>
      <c r="J27" s="63"/>
      <c r="K27" s="63"/>
      <c r="L27" s="63"/>
      <c r="M27" s="63"/>
      <c r="N27" s="63"/>
      <c r="O27" s="63"/>
    </row>
    <row r="28" spans="1:15" ht="16.5" customHeight="1">
      <c r="A28" s="61"/>
      <c r="B28" s="63"/>
      <c r="C28" s="63"/>
      <c r="D28" s="63"/>
      <c r="E28" s="63"/>
      <c r="F28" s="63"/>
      <c r="G28" s="63"/>
      <c r="H28" s="63"/>
      <c r="I28" s="63"/>
      <c r="J28" s="63"/>
      <c r="K28" s="63"/>
      <c r="L28" s="63"/>
      <c r="M28" s="63"/>
      <c r="N28" s="63"/>
      <c r="O28" s="63"/>
    </row>
    <row r="29" spans="1:15" ht="16.5" customHeight="1">
      <c r="A29" s="61"/>
      <c r="B29" s="63"/>
      <c r="C29" s="63"/>
      <c r="D29" s="63"/>
      <c r="E29" s="63"/>
      <c r="F29" s="63"/>
      <c r="G29" s="63"/>
      <c r="H29" s="63"/>
      <c r="I29" s="63"/>
      <c r="J29" s="63"/>
      <c r="K29" s="63"/>
      <c r="L29" s="63"/>
      <c r="M29" s="63"/>
      <c r="N29" s="63"/>
      <c r="O29" s="63"/>
    </row>
  </sheetData>
  <sheetProtection sheet="1" objects="1" scenarios="1"/>
  <mergeCells count="22">
    <mergeCell ref="A4:B4"/>
    <mergeCell ref="C18:G18"/>
    <mergeCell ref="H10:L16"/>
    <mergeCell ref="A10:A12"/>
    <mergeCell ref="A3:B3"/>
    <mergeCell ref="A5:B5"/>
    <mergeCell ref="M1:O1"/>
    <mergeCell ref="H3:L8"/>
    <mergeCell ref="M3:O8"/>
    <mergeCell ref="A6:A9"/>
    <mergeCell ref="D3:E5"/>
    <mergeCell ref="A17:B17"/>
    <mergeCell ref="A13:A16"/>
    <mergeCell ref="H1:L1"/>
    <mergeCell ref="C9:D9"/>
    <mergeCell ref="F3:G5"/>
    <mergeCell ref="A19:A29"/>
    <mergeCell ref="B19:O29"/>
    <mergeCell ref="M10:O16"/>
    <mergeCell ref="C16:D16"/>
    <mergeCell ref="C17:D17"/>
    <mergeCell ref="A18:B18"/>
  </mergeCells>
  <printOptions horizontalCentered="1"/>
  <pageMargins left="0.3937007874015748" right="0.3937007874015748" top="0.984251968503937" bottom="0.984251968503937" header="0.5118110236220472" footer="0.5118110236220472"/>
  <pageSetup fitToHeight="0" fitToWidth="1" orientation="landscape" paperSize="9" scale="93" r:id="rId1"/>
  <headerFooter alignWithMargins="0">
    <oddHeader>&amp;C&amp;"Arial,Gras"&amp;12Retraite et Prévoyance - Réintégration des excédents</oddHeader>
  </headerFooter>
  <ignoredErrors>
    <ignoredError sqref="E9 G9" formula="1"/>
  </ignoredErrors>
</worksheet>
</file>

<file path=xl/worksheets/sheet14.xml><?xml version="1.0" encoding="utf-8"?>
<worksheet xmlns="http://schemas.openxmlformats.org/spreadsheetml/2006/main" xmlns:r="http://schemas.openxmlformats.org/officeDocument/2006/relationships">
  <sheetPr>
    <pageSetUpPr fitToPage="1"/>
  </sheetPr>
  <dimension ref="A1:O29"/>
  <sheetViews>
    <sheetView zoomScalePageLayoutView="0" workbookViewId="0" topLeftCell="A1">
      <selection activeCell="L17" sqref="L17"/>
    </sheetView>
  </sheetViews>
  <sheetFormatPr defaultColWidth="11.421875" defaultRowHeight="12.75"/>
  <cols>
    <col min="1" max="1" width="23.140625" style="35" customWidth="1"/>
    <col min="2" max="2" width="6.140625" style="36" customWidth="1"/>
    <col min="3" max="3" width="11.00390625" style="35" customWidth="1"/>
    <col min="4" max="4" width="6.8515625" style="35" customWidth="1"/>
    <col min="5" max="5" width="9.421875" style="35" customWidth="1"/>
    <col min="6" max="6" width="7.140625" style="35" customWidth="1"/>
    <col min="7" max="7" width="9.421875" style="35" customWidth="1"/>
    <col min="8" max="8" width="9.8515625" style="35" customWidth="1"/>
    <col min="9" max="10" width="9.7109375" style="35" customWidth="1"/>
    <col min="11" max="12" width="10.28125" style="35" customWidth="1"/>
    <col min="13" max="13" width="9.8515625" style="35" customWidth="1"/>
    <col min="14" max="15" width="9.7109375" style="35" customWidth="1"/>
    <col min="16" max="16384" width="11.421875" style="35" customWidth="1"/>
  </cols>
  <sheetData>
    <row r="1" spans="1:15" s="7" customFormat="1" ht="21" customHeight="1">
      <c r="A1" s="3"/>
      <c r="B1" s="4"/>
      <c r="C1" s="5" t="s">
        <v>19</v>
      </c>
      <c r="D1" s="5"/>
      <c r="E1" s="5"/>
      <c r="F1" s="5"/>
      <c r="G1" s="6"/>
      <c r="H1" s="69" t="s">
        <v>15</v>
      </c>
      <c r="I1" s="70"/>
      <c r="J1" s="70"/>
      <c r="K1" s="70"/>
      <c r="L1" s="71"/>
      <c r="M1" s="72" t="s">
        <v>20</v>
      </c>
      <c r="N1" s="73"/>
      <c r="O1" s="74"/>
    </row>
    <row r="2" spans="1:15" s="18" customFormat="1" ht="23.25" customHeight="1">
      <c r="A2" s="8" t="s">
        <v>21</v>
      </c>
      <c r="B2" s="9"/>
      <c r="C2" s="9" t="s">
        <v>3</v>
      </c>
      <c r="D2" s="10" t="s">
        <v>0</v>
      </c>
      <c r="E2" s="9" t="s">
        <v>9</v>
      </c>
      <c r="F2" s="10" t="s">
        <v>1</v>
      </c>
      <c r="G2" s="11" t="s">
        <v>10</v>
      </c>
      <c r="H2" s="12" t="s">
        <v>13</v>
      </c>
      <c r="I2" s="13" t="s">
        <v>12</v>
      </c>
      <c r="J2" s="13" t="s">
        <v>14</v>
      </c>
      <c r="K2" s="13" t="s">
        <v>16</v>
      </c>
      <c r="L2" s="14" t="s">
        <v>17</v>
      </c>
      <c r="M2" s="15" t="s">
        <v>18</v>
      </c>
      <c r="N2" s="16" t="s">
        <v>12</v>
      </c>
      <c r="O2" s="17" t="s">
        <v>14</v>
      </c>
    </row>
    <row r="3" spans="1:15" s="7" customFormat="1" ht="18" customHeight="1">
      <c r="A3" s="75" t="s">
        <v>2</v>
      </c>
      <c r="B3" s="76"/>
      <c r="C3" s="1">
        <v>145000</v>
      </c>
      <c r="D3" s="77"/>
      <c r="E3" s="78"/>
      <c r="F3" s="81"/>
      <c r="G3" s="82"/>
      <c r="H3" s="85"/>
      <c r="I3" s="86"/>
      <c r="J3" s="86"/>
      <c r="K3" s="86"/>
      <c r="L3" s="87"/>
      <c r="M3" s="85"/>
      <c r="N3" s="86"/>
      <c r="O3" s="87"/>
    </row>
    <row r="4" spans="1:15" s="7" customFormat="1" ht="18" customHeight="1">
      <c r="A4" s="64" t="s">
        <v>28</v>
      </c>
      <c r="B4" s="88"/>
      <c r="C4" s="2">
        <v>0</v>
      </c>
      <c r="D4" s="79"/>
      <c r="E4" s="80"/>
      <c r="F4" s="83"/>
      <c r="G4" s="84"/>
      <c r="H4" s="85"/>
      <c r="I4" s="86"/>
      <c r="J4" s="86"/>
      <c r="K4" s="86"/>
      <c r="L4" s="87"/>
      <c r="M4" s="85"/>
      <c r="N4" s="86"/>
      <c r="O4" s="87"/>
    </row>
    <row r="5" spans="1:15" s="7" customFormat="1" ht="18" customHeight="1">
      <c r="A5" s="64" t="s">
        <v>27</v>
      </c>
      <c r="B5" s="88"/>
      <c r="C5" s="2">
        <v>34620</v>
      </c>
      <c r="D5" s="79"/>
      <c r="E5" s="80"/>
      <c r="F5" s="83"/>
      <c r="G5" s="84"/>
      <c r="H5" s="85"/>
      <c r="I5" s="86"/>
      <c r="J5" s="86"/>
      <c r="K5" s="86"/>
      <c r="L5" s="87"/>
      <c r="M5" s="85"/>
      <c r="N5" s="86"/>
      <c r="O5" s="87"/>
    </row>
    <row r="6" spans="1:15" s="7" customFormat="1" ht="15" customHeight="1">
      <c r="A6" s="64" t="s">
        <v>4</v>
      </c>
      <c r="B6" s="19" t="s">
        <v>5</v>
      </c>
      <c r="C6" s="20">
        <f>IF(Salaire_brut&gt;Plafond_SS,Plafond_SS,Salaire_brut)</f>
        <v>34620</v>
      </c>
      <c r="D6" s="39"/>
      <c r="E6" s="21">
        <f>ROUND(C6*D6/100,2)</f>
        <v>0</v>
      </c>
      <c r="F6" s="40"/>
      <c r="G6" s="22">
        <f>ROUND(C6*F6/100,2)</f>
        <v>0</v>
      </c>
      <c r="H6" s="85"/>
      <c r="I6" s="86"/>
      <c r="J6" s="86"/>
      <c r="K6" s="86"/>
      <c r="L6" s="87"/>
      <c r="M6" s="85"/>
      <c r="N6" s="86"/>
      <c r="O6" s="87"/>
    </row>
    <row r="7" spans="1:15" s="7" customFormat="1" ht="15" customHeight="1">
      <c r="A7" s="64"/>
      <c r="B7" s="19" t="s">
        <v>6</v>
      </c>
      <c r="C7" s="20">
        <f>IF(Salaire_brut&gt;Plafond_SS,MIN(Salaire_brut-Plafond_SS,Plafond_SS*3),0)</f>
        <v>103860</v>
      </c>
      <c r="D7" s="39">
        <v>4</v>
      </c>
      <c r="E7" s="21">
        <f>ROUND(C7*D7/100,2)</f>
        <v>4154.4</v>
      </c>
      <c r="F7" s="40">
        <v>8</v>
      </c>
      <c r="G7" s="22">
        <f>ROUND(C7*F7/100,2)</f>
        <v>8308.8</v>
      </c>
      <c r="H7" s="85"/>
      <c r="I7" s="86"/>
      <c r="J7" s="86"/>
      <c r="K7" s="86"/>
      <c r="L7" s="87"/>
      <c r="M7" s="85"/>
      <c r="N7" s="86"/>
      <c r="O7" s="87"/>
    </row>
    <row r="8" spans="1:15" s="7" customFormat="1" ht="15" customHeight="1">
      <c r="A8" s="64"/>
      <c r="B8" s="19" t="s">
        <v>7</v>
      </c>
      <c r="C8" s="20">
        <f>IF(Salaire_brut&gt;Plafond_SS*4,Salaire_brut-Plafond_SS*4,0)</f>
        <v>6520</v>
      </c>
      <c r="D8" s="39">
        <v>4</v>
      </c>
      <c r="E8" s="21">
        <f>ROUND(C8*D8/100,2)</f>
        <v>260.8</v>
      </c>
      <c r="F8" s="40">
        <v>8</v>
      </c>
      <c r="G8" s="22">
        <f>ROUND(C8*F8/100,2)</f>
        <v>521.6</v>
      </c>
      <c r="H8" s="85"/>
      <c r="I8" s="86"/>
      <c r="J8" s="86"/>
      <c r="K8" s="86"/>
      <c r="L8" s="87"/>
      <c r="M8" s="85"/>
      <c r="N8" s="86"/>
      <c r="O8" s="87"/>
    </row>
    <row r="9" spans="1:15" s="33" customFormat="1" ht="15" customHeight="1">
      <c r="A9" s="64"/>
      <c r="B9" s="23" t="s">
        <v>8</v>
      </c>
      <c r="C9" s="53"/>
      <c r="D9" s="54"/>
      <c r="E9" s="24">
        <f>SUM(E6:E8)</f>
        <v>4415.2</v>
      </c>
      <c r="F9" s="25"/>
      <c r="G9" s="26">
        <f>SUM(G6:G8)</f>
        <v>8830.4</v>
      </c>
      <c r="H9" s="27">
        <f>E9+G9</f>
        <v>13245.599999999999</v>
      </c>
      <c r="I9" s="28">
        <f>MAX(MIN(8%*Salaire_brut,Plafond_SS*8*8%)-AbondPERCO,0)</f>
        <v>11600</v>
      </c>
      <c r="J9" s="29">
        <f>MAX(0,H9-I9)</f>
        <v>1645.5999999999985</v>
      </c>
      <c r="K9" s="30">
        <f>ROUND(J9*E9/H9,2)</f>
        <v>548.53</v>
      </c>
      <c r="L9" s="31">
        <f>J9-K9</f>
        <v>1097.0699999999986</v>
      </c>
      <c r="M9" s="27">
        <f>G9</f>
        <v>8830.4</v>
      </c>
      <c r="N9" s="28">
        <f>MAX(MAX((Plafond_SS*5%),MIN(Salaire_brut,Plafond_SS*5)*5%)-AbondPERCO,0)</f>
        <v>7250</v>
      </c>
      <c r="O9" s="32">
        <f>MAX(0,M9-N9)</f>
        <v>1580.3999999999996</v>
      </c>
    </row>
    <row r="10" spans="1:15" s="7" customFormat="1" ht="15" customHeight="1">
      <c r="A10" s="64" t="s">
        <v>11</v>
      </c>
      <c r="B10" s="19" t="s">
        <v>5</v>
      </c>
      <c r="C10" s="20">
        <f>IF(Salaire_brut&gt;Plafond_SS,Plafond_SS,Salaire_brut)</f>
        <v>34620</v>
      </c>
      <c r="D10" s="39">
        <v>0.97</v>
      </c>
      <c r="E10" s="21">
        <f aca="true" t="shared" si="0" ref="E10:E15">ROUND(C10*D10/100,2)</f>
        <v>335.81</v>
      </c>
      <c r="F10" s="40">
        <v>1.95</v>
      </c>
      <c r="G10" s="22">
        <f aca="true" t="shared" si="1" ref="G10:G15">ROUND(C10*F10/100,2)</f>
        <v>675.09</v>
      </c>
      <c r="H10" s="65"/>
      <c r="I10" s="54"/>
      <c r="J10" s="54"/>
      <c r="K10" s="54"/>
      <c r="L10" s="66"/>
      <c r="M10" s="65"/>
      <c r="N10" s="54"/>
      <c r="O10" s="66"/>
    </row>
    <row r="11" spans="1:15" s="7" customFormat="1" ht="15" customHeight="1">
      <c r="A11" s="64"/>
      <c r="B11" s="19" t="s">
        <v>6</v>
      </c>
      <c r="C11" s="20">
        <f>IF(Salaire_brut&gt;Plafond_SS,MIN(Salaire_brut-Plafond_SS,Plafond_SS*3),0)</f>
        <v>103860</v>
      </c>
      <c r="D11" s="39">
        <v>2.23</v>
      </c>
      <c r="E11" s="21">
        <f t="shared" si="0"/>
        <v>2316.08</v>
      </c>
      <c r="F11" s="40">
        <v>2.23</v>
      </c>
      <c r="G11" s="22">
        <f t="shared" si="1"/>
        <v>2316.08</v>
      </c>
      <c r="H11" s="65"/>
      <c r="I11" s="54"/>
      <c r="J11" s="54"/>
      <c r="K11" s="54"/>
      <c r="L11" s="66"/>
      <c r="M11" s="65"/>
      <c r="N11" s="54"/>
      <c r="O11" s="66"/>
    </row>
    <row r="12" spans="1:15" s="7" customFormat="1" ht="15" customHeight="1">
      <c r="A12" s="64"/>
      <c r="B12" s="19" t="s">
        <v>7</v>
      </c>
      <c r="C12" s="20">
        <f>IF(Salaire_brut&gt;Plafond_SS*4,Salaire_brut-Plafond_SS*4,0)</f>
        <v>6520</v>
      </c>
      <c r="D12" s="39">
        <v>2.23</v>
      </c>
      <c r="E12" s="21">
        <f t="shared" si="0"/>
        <v>145.4</v>
      </c>
      <c r="F12" s="40">
        <v>2.23</v>
      </c>
      <c r="G12" s="22">
        <f t="shared" si="1"/>
        <v>145.4</v>
      </c>
      <c r="H12" s="65"/>
      <c r="I12" s="54"/>
      <c r="J12" s="54"/>
      <c r="K12" s="54"/>
      <c r="L12" s="66"/>
      <c r="M12" s="65"/>
      <c r="N12" s="54"/>
      <c r="O12" s="66"/>
    </row>
    <row r="13" spans="1:15" s="7" customFormat="1" ht="15" customHeight="1">
      <c r="A13" s="64" t="s">
        <v>22</v>
      </c>
      <c r="B13" s="19" t="s">
        <v>5</v>
      </c>
      <c r="C13" s="20">
        <f>IF(Salaire_brut&gt;Plafond_SS,Plafond_SS,Salaire_brut)</f>
        <v>34620</v>
      </c>
      <c r="D13" s="39">
        <v>1.207</v>
      </c>
      <c r="E13" s="21">
        <f t="shared" si="0"/>
        <v>417.86</v>
      </c>
      <c r="F13" s="40">
        <v>3.623</v>
      </c>
      <c r="G13" s="22">
        <f t="shared" si="1"/>
        <v>1254.28</v>
      </c>
      <c r="H13" s="65"/>
      <c r="I13" s="54"/>
      <c r="J13" s="54"/>
      <c r="K13" s="54"/>
      <c r="L13" s="66"/>
      <c r="M13" s="65"/>
      <c r="N13" s="54"/>
      <c r="O13" s="66"/>
    </row>
    <row r="14" spans="1:15" s="7" customFormat="1" ht="15" customHeight="1">
      <c r="A14" s="64"/>
      <c r="B14" s="19" t="s">
        <v>6</v>
      </c>
      <c r="C14" s="20">
        <f>IF(Salaire_brut&gt;Plafond_SS,MIN(Salaire_brut-Plafond_SS,Plafond_SS*3),0)</f>
        <v>103860</v>
      </c>
      <c r="D14" s="39"/>
      <c r="E14" s="21">
        <f t="shared" si="0"/>
        <v>0</v>
      </c>
      <c r="F14" s="40"/>
      <c r="G14" s="22">
        <f t="shared" si="1"/>
        <v>0</v>
      </c>
      <c r="H14" s="65"/>
      <c r="I14" s="54"/>
      <c r="J14" s="54"/>
      <c r="K14" s="54"/>
      <c r="L14" s="66"/>
      <c r="M14" s="65"/>
      <c r="N14" s="54"/>
      <c r="O14" s="66"/>
    </row>
    <row r="15" spans="1:15" s="7" customFormat="1" ht="15" customHeight="1">
      <c r="A15" s="64"/>
      <c r="B15" s="19" t="s">
        <v>7</v>
      </c>
      <c r="C15" s="20">
        <f>IF(Salaire_brut&gt;Plafond_SS*4,Salaire_brut-Plafond_SS*4,0)</f>
        <v>6520</v>
      </c>
      <c r="D15" s="39"/>
      <c r="E15" s="21">
        <f t="shared" si="0"/>
        <v>0</v>
      </c>
      <c r="F15" s="40"/>
      <c r="G15" s="22">
        <f t="shared" si="1"/>
        <v>0</v>
      </c>
      <c r="H15" s="65"/>
      <c r="I15" s="54"/>
      <c r="J15" s="54"/>
      <c r="K15" s="54"/>
      <c r="L15" s="66"/>
      <c r="M15" s="65"/>
      <c r="N15" s="54"/>
      <c r="O15" s="66"/>
    </row>
    <row r="16" spans="1:15" s="7" customFormat="1" ht="15" customHeight="1">
      <c r="A16" s="64"/>
      <c r="B16" s="19" t="s">
        <v>23</v>
      </c>
      <c r="C16" s="67"/>
      <c r="D16" s="68"/>
      <c r="E16" s="37"/>
      <c r="F16" s="34"/>
      <c r="G16" s="38"/>
      <c r="H16" s="65"/>
      <c r="I16" s="54"/>
      <c r="J16" s="54"/>
      <c r="K16" s="54"/>
      <c r="L16" s="66"/>
      <c r="M16" s="65"/>
      <c r="N16" s="54"/>
      <c r="O16" s="66"/>
    </row>
    <row r="17" spans="1:15" s="33" customFormat="1" ht="18" customHeight="1">
      <c r="A17" s="51" t="s">
        <v>24</v>
      </c>
      <c r="B17" s="52"/>
      <c r="C17" s="53"/>
      <c r="D17" s="54"/>
      <c r="E17" s="24">
        <f>SUM(E10:E16)</f>
        <v>3215.15</v>
      </c>
      <c r="F17" s="41"/>
      <c r="G17" s="26">
        <f>SUM(G10:G16)</f>
        <v>4390.85</v>
      </c>
      <c r="H17" s="27">
        <f>E17+G17</f>
        <v>7606</v>
      </c>
      <c r="I17" s="28">
        <f>MIN((7%*Plafond_SS)+(3%*Salaire_brut),3%*8*Plafond_SS)</f>
        <v>6773.4</v>
      </c>
      <c r="J17" s="29">
        <f>MAX(0,H17-I17)</f>
        <v>832.6000000000004</v>
      </c>
      <c r="K17" s="30">
        <f>ROUND(J17*E17/H17,2)</f>
        <v>351.95</v>
      </c>
      <c r="L17" s="31">
        <f>J17-K17</f>
        <v>480.6500000000004</v>
      </c>
      <c r="M17" s="27">
        <f>G17</f>
        <v>4390.85</v>
      </c>
      <c r="N17" s="28">
        <f>MIN((6%*Plafond_SS)+(1.5%*Salaire_brut),12%*Plafond_SS)</f>
        <v>4154.4</v>
      </c>
      <c r="O17" s="32">
        <f>MAX(0,M17-N17)</f>
        <v>236.45000000000073</v>
      </c>
    </row>
    <row r="18" spans="1:15" s="45" customFormat="1" ht="18" customHeight="1" thickBot="1">
      <c r="A18" s="55" t="s">
        <v>26</v>
      </c>
      <c r="B18" s="56"/>
      <c r="C18" s="57"/>
      <c r="D18" s="58"/>
      <c r="E18" s="58"/>
      <c r="F18" s="58"/>
      <c r="G18" s="59"/>
      <c r="H18" s="44"/>
      <c r="I18" s="42"/>
      <c r="J18" s="43"/>
      <c r="K18" s="46">
        <f>K9+K17</f>
        <v>900.48</v>
      </c>
      <c r="L18" s="46">
        <f>L9+L17</f>
        <v>1577.719999999999</v>
      </c>
      <c r="M18" s="44"/>
      <c r="N18" s="42"/>
      <c r="O18" s="47">
        <f>O9+O17</f>
        <v>1816.8500000000004</v>
      </c>
    </row>
    <row r="19" spans="1:15" ht="16.5" customHeight="1">
      <c r="A19" s="60" t="s">
        <v>25</v>
      </c>
      <c r="B19" s="62" t="s">
        <v>29</v>
      </c>
      <c r="C19" s="62"/>
      <c r="D19" s="62"/>
      <c r="E19" s="62"/>
      <c r="F19" s="62"/>
      <c r="G19" s="62"/>
      <c r="H19" s="62"/>
      <c r="I19" s="62"/>
      <c r="J19" s="62"/>
      <c r="K19" s="62"/>
      <c r="L19" s="62"/>
      <c r="M19" s="62"/>
      <c r="N19" s="62"/>
      <c r="O19" s="62"/>
    </row>
    <row r="20" spans="1:15" ht="16.5" customHeight="1">
      <c r="A20" s="61"/>
      <c r="B20" s="63"/>
      <c r="C20" s="63"/>
      <c r="D20" s="63"/>
      <c r="E20" s="63"/>
      <c r="F20" s="63"/>
      <c r="G20" s="63"/>
      <c r="H20" s="63"/>
      <c r="I20" s="63"/>
      <c r="J20" s="63"/>
      <c r="K20" s="63"/>
      <c r="L20" s="63"/>
      <c r="M20" s="63"/>
      <c r="N20" s="63"/>
      <c r="O20" s="63"/>
    </row>
    <row r="21" spans="1:15" ht="16.5" customHeight="1">
      <c r="A21" s="61"/>
      <c r="B21" s="63"/>
      <c r="C21" s="63"/>
      <c r="D21" s="63"/>
      <c r="E21" s="63"/>
      <c r="F21" s="63"/>
      <c r="G21" s="63"/>
      <c r="H21" s="63"/>
      <c r="I21" s="63"/>
      <c r="J21" s="63"/>
      <c r="K21" s="63"/>
      <c r="L21" s="63"/>
      <c r="M21" s="63"/>
      <c r="N21" s="63"/>
      <c r="O21" s="63"/>
    </row>
    <row r="22" spans="1:15" ht="16.5" customHeight="1">
      <c r="A22" s="61"/>
      <c r="B22" s="63"/>
      <c r="C22" s="63"/>
      <c r="D22" s="63"/>
      <c r="E22" s="63"/>
      <c r="F22" s="63"/>
      <c r="G22" s="63"/>
      <c r="H22" s="63"/>
      <c r="I22" s="63"/>
      <c r="J22" s="63"/>
      <c r="K22" s="63"/>
      <c r="L22" s="63"/>
      <c r="M22" s="63"/>
      <c r="N22" s="63"/>
      <c r="O22" s="63"/>
    </row>
    <row r="23" spans="1:15" ht="16.5" customHeight="1">
      <c r="A23" s="61"/>
      <c r="B23" s="63"/>
      <c r="C23" s="63"/>
      <c r="D23" s="63"/>
      <c r="E23" s="63"/>
      <c r="F23" s="63"/>
      <c r="G23" s="63"/>
      <c r="H23" s="63"/>
      <c r="I23" s="63"/>
      <c r="J23" s="63"/>
      <c r="K23" s="63"/>
      <c r="L23" s="63"/>
      <c r="M23" s="63"/>
      <c r="N23" s="63"/>
      <c r="O23" s="63"/>
    </row>
    <row r="24" spans="1:15" ht="16.5" customHeight="1">
      <c r="A24" s="61"/>
      <c r="B24" s="63"/>
      <c r="C24" s="63"/>
      <c r="D24" s="63"/>
      <c r="E24" s="63"/>
      <c r="F24" s="63"/>
      <c r="G24" s="63"/>
      <c r="H24" s="63"/>
      <c r="I24" s="63"/>
      <c r="J24" s="63"/>
      <c r="K24" s="63"/>
      <c r="L24" s="63"/>
      <c r="M24" s="63"/>
      <c r="N24" s="63"/>
      <c r="O24" s="63"/>
    </row>
    <row r="25" spans="1:15" ht="16.5" customHeight="1">
      <c r="A25" s="61"/>
      <c r="B25" s="63"/>
      <c r="C25" s="63"/>
      <c r="D25" s="63"/>
      <c r="E25" s="63"/>
      <c r="F25" s="63"/>
      <c r="G25" s="63"/>
      <c r="H25" s="63"/>
      <c r="I25" s="63"/>
      <c r="J25" s="63"/>
      <c r="K25" s="63"/>
      <c r="L25" s="63"/>
      <c r="M25" s="63"/>
      <c r="N25" s="63"/>
      <c r="O25" s="63"/>
    </row>
    <row r="26" spans="1:15" ht="16.5" customHeight="1">
      <c r="A26" s="61"/>
      <c r="B26" s="63"/>
      <c r="C26" s="63"/>
      <c r="D26" s="63"/>
      <c r="E26" s="63"/>
      <c r="F26" s="63"/>
      <c r="G26" s="63"/>
      <c r="H26" s="63"/>
      <c r="I26" s="63"/>
      <c r="J26" s="63"/>
      <c r="K26" s="63"/>
      <c r="L26" s="63"/>
      <c r="M26" s="63"/>
      <c r="N26" s="63"/>
      <c r="O26" s="63"/>
    </row>
    <row r="27" spans="1:15" ht="16.5" customHeight="1">
      <c r="A27" s="61"/>
      <c r="B27" s="63"/>
      <c r="C27" s="63"/>
      <c r="D27" s="63"/>
      <c r="E27" s="63"/>
      <c r="F27" s="63"/>
      <c r="G27" s="63"/>
      <c r="H27" s="63"/>
      <c r="I27" s="63"/>
      <c r="J27" s="63"/>
      <c r="K27" s="63"/>
      <c r="L27" s="63"/>
      <c r="M27" s="63"/>
      <c r="N27" s="63"/>
      <c r="O27" s="63"/>
    </row>
    <row r="28" spans="1:15" ht="16.5" customHeight="1">
      <c r="A28" s="61"/>
      <c r="B28" s="63"/>
      <c r="C28" s="63"/>
      <c r="D28" s="63"/>
      <c r="E28" s="63"/>
      <c r="F28" s="63"/>
      <c r="G28" s="63"/>
      <c r="H28" s="63"/>
      <c r="I28" s="63"/>
      <c r="J28" s="63"/>
      <c r="K28" s="63"/>
      <c r="L28" s="63"/>
      <c r="M28" s="63"/>
      <c r="N28" s="63"/>
      <c r="O28" s="63"/>
    </row>
    <row r="29" spans="1:15" ht="16.5" customHeight="1">
      <c r="A29" s="61"/>
      <c r="B29" s="63"/>
      <c r="C29" s="63"/>
      <c r="D29" s="63"/>
      <c r="E29" s="63"/>
      <c r="F29" s="63"/>
      <c r="G29" s="63"/>
      <c r="H29" s="63"/>
      <c r="I29" s="63"/>
      <c r="J29" s="63"/>
      <c r="K29" s="63"/>
      <c r="L29" s="63"/>
      <c r="M29" s="63"/>
      <c r="N29" s="63"/>
      <c r="O29" s="63"/>
    </row>
  </sheetData>
  <sheetProtection sheet="1" objects="1" scenarios="1"/>
  <mergeCells count="22">
    <mergeCell ref="H1:L1"/>
    <mergeCell ref="M1:O1"/>
    <mergeCell ref="A3:B3"/>
    <mergeCell ref="D3:E5"/>
    <mergeCell ref="F3:G5"/>
    <mergeCell ref="H3:L8"/>
    <mergeCell ref="M3:O8"/>
    <mergeCell ref="A4:B4"/>
    <mergeCell ref="A5:B5"/>
    <mergeCell ref="A6:A9"/>
    <mergeCell ref="C9:D9"/>
    <mergeCell ref="A10:A12"/>
    <mergeCell ref="H10:L16"/>
    <mergeCell ref="M10:O16"/>
    <mergeCell ref="A13:A16"/>
    <mergeCell ref="C16:D16"/>
    <mergeCell ref="A17:B17"/>
    <mergeCell ref="C17:D17"/>
    <mergeCell ref="A18:B18"/>
    <mergeCell ref="C18:G18"/>
    <mergeCell ref="A19:A29"/>
    <mergeCell ref="B19:O29"/>
  </mergeCells>
  <printOptions horizontalCentered="1"/>
  <pageMargins left="0.3937007874015748" right="0.3937007874015748" top="0.984251968503937" bottom="0.984251968503937" header="0.5118110236220472" footer="0.5118110236220472"/>
  <pageSetup fitToHeight="0" fitToWidth="1" orientation="landscape" paperSize="9" scale="93" r:id="rId1"/>
  <headerFooter alignWithMargins="0">
    <oddHeader>&amp;C&amp;"Arial,Gras"&amp;12Retraite et Prévoyance - Réintégration des excédents</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O29"/>
  <sheetViews>
    <sheetView zoomScalePageLayoutView="0" workbookViewId="0" topLeftCell="A1">
      <selection activeCell="A1" sqref="A1"/>
    </sheetView>
  </sheetViews>
  <sheetFormatPr defaultColWidth="11.421875" defaultRowHeight="12.75"/>
  <cols>
    <col min="1" max="1" width="23.140625" style="35" customWidth="1"/>
    <col min="2" max="2" width="8.7109375" style="36" customWidth="1"/>
    <col min="3" max="3" width="11.00390625" style="35" customWidth="1"/>
    <col min="4" max="4" width="6.8515625" style="35" customWidth="1"/>
    <col min="5" max="5" width="9.421875" style="35" customWidth="1"/>
    <col min="6" max="6" width="7.140625" style="35" customWidth="1"/>
    <col min="7" max="7" width="9.421875" style="35" customWidth="1"/>
    <col min="8" max="8" width="9.8515625" style="35" customWidth="1"/>
    <col min="9" max="10" width="9.7109375" style="35" customWidth="1"/>
    <col min="11" max="12" width="10.28125" style="35" customWidth="1"/>
    <col min="13" max="13" width="9.8515625" style="35" customWidth="1"/>
    <col min="14" max="15" width="9.7109375" style="35" customWidth="1"/>
    <col min="16" max="16384" width="11.421875" style="35" customWidth="1"/>
  </cols>
  <sheetData>
    <row r="1" spans="1:15" s="7" customFormat="1" ht="21" customHeight="1">
      <c r="A1" s="3"/>
      <c r="B1" s="4"/>
      <c r="C1" s="5" t="s">
        <v>19</v>
      </c>
      <c r="D1" s="5"/>
      <c r="E1" s="5"/>
      <c r="F1" s="5"/>
      <c r="G1" s="6"/>
      <c r="H1" s="69" t="s">
        <v>15</v>
      </c>
      <c r="I1" s="70"/>
      <c r="J1" s="70"/>
      <c r="K1" s="70"/>
      <c r="L1" s="71"/>
      <c r="M1" s="72" t="s">
        <v>20</v>
      </c>
      <c r="N1" s="73"/>
      <c r="O1" s="74"/>
    </row>
    <row r="2" spans="1:15" s="18" customFormat="1" ht="23.25" customHeight="1">
      <c r="A2" s="8" t="s">
        <v>21</v>
      </c>
      <c r="B2" s="9"/>
      <c r="C2" s="9" t="s">
        <v>3</v>
      </c>
      <c r="D2" s="10" t="s">
        <v>0</v>
      </c>
      <c r="E2" s="9" t="s">
        <v>9</v>
      </c>
      <c r="F2" s="10" t="s">
        <v>1</v>
      </c>
      <c r="G2" s="11" t="s">
        <v>10</v>
      </c>
      <c r="H2" s="12" t="s">
        <v>13</v>
      </c>
      <c r="I2" s="13" t="s">
        <v>12</v>
      </c>
      <c r="J2" s="13" t="s">
        <v>14</v>
      </c>
      <c r="K2" s="13" t="s">
        <v>17</v>
      </c>
      <c r="L2" s="14" t="s">
        <v>16</v>
      </c>
      <c r="M2" s="15" t="s">
        <v>18</v>
      </c>
      <c r="N2" s="16" t="s">
        <v>31</v>
      </c>
      <c r="O2" s="17" t="s">
        <v>14</v>
      </c>
    </row>
    <row r="3" spans="1:15" s="7" customFormat="1" ht="18" customHeight="1">
      <c r="A3" s="75" t="s">
        <v>2</v>
      </c>
      <c r="B3" s="76"/>
      <c r="C3" s="1">
        <v>152000</v>
      </c>
      <c r="D3" s="77"/>
      <c r="E3" s="78"/>
      <c r="F3" s="81"/>
      <c r="G3" s="82"/>
      <c r="H3" s="85"/>
      <c r="I3" s="86"/>
      <c r="J3" s="86"/>
      <c r="K3" s="86"/>
      <c r="L3" s="87"/>
      <c r="M3" s="85"/>
      <c r="N3" s="86"/>
      <c r="O3" s="87"/>
    </row>
    <row r="4" spans="1:15" s="7" customFormat="1" ht="18" customHeight="1">
      <c r="A4" s="64" t="s">
        <v>43</v>
      </c>
      <c r="B4" s="88"/>
      <c r="C4" s="2"/>
      <c r="D4" s="79"/>
      <c r="E4" s="80"/>
      <c r="F4" s="83"/>
      <c r="G4" s="84"/>
      <c r="H4" s="85"/>
      <c r="I4" s="86"/>
      <c r="J4" s="86"/>
      <c r="K4" s="86"/>
      <c r="L4" s="87"/>
      <c r="M4" s="85"/>
      <c r="N4" s="86"/>
      <c r="O4" s="87"/>
    </row>
    <row r="5" spans="1:15" s="7" customFormat="1" ht="18" customHeight="1">
      <c r="A5" s="64" t="s">
        <v>47</v>
      </c>
      <c r="B5" s="88"/>
      <c r="C5" s="2">
        <v>41136</v>
      </c>
      <c r="D5" s="79"/>
      <c r="E5" s="80"/>
      <c r="F5" s="83"/>
      <c r="G5" s="84"/>
      <c r="H5" s="85"/>
      <c r="I5" s="86"/>
      <c r="J5" s="86"/>
      <c r="K5" s="86"/>
      <c r="L5" s="87"/>
      <c r="M5" s="85"/>
      <c r="N5" s="86"/>
      <c r="O5" s="87"/>
    </row>
    <row r="6" spans="1:15" s="7" customFormat="1" ht="15" customHeight="1">
      <c r="A6" s="89" t="s">
        <v>44</v>
      </c>
      <c r="B6" s="19" t="s">
        <v>5</v>
      </c>
      <c r="C6" s="20">
        <f>IF(Salaire_brut&gt;Plafond_SS,Plafond_SS,Salaire_brut)</f>
        <v>41136</v>
      </c>
      <c r="D6" s="39"/>
      <c r="E6" s="21">
        <f>ROUND(C6*D6/100,2)</f>
        <v>0</v>
      </c>
      <c r="F6" s="40"/>
      <c r="G6" s="22">
        <f>ROUND(C6*F6/100,2)</f>
        <v>0</v>
      </c>
      <c r="H6" s="85"/>
      <c r="I6" s="86"/>
      <c r="J6" s="86"/>
      <c r="K6" s="86"/>
      <c r="L6" s="87"/>
      <c r="M6" s="85"/>
      <c r="N6" s="86"/>
      <c r="O6" s="87"/>
    </row>
    <row r="7" spans="1:15" s="7" customFormat="1" ht="15" customHeight="1">
      <c r="A7" s="64"/>
      <c r="B7" s="19" t="s">
        <v>6</v>
      </c>
      <c r="C7" s="20">
        <f>IF(Salaire_brut&gt;Plafond_SS,MIN(Salaire_brut-Plafond_SS,Plafond_SS*3),0)</f>
        <v>110864</v>
      </c>
      <c r="D7" s="39">
        <v>4</v>
      </c>
      <c r="E7" s="21">
        <f>ROUND(C7*D7/100,2)</f>
        <v>4434.56</v>
      </c>
      <c r="F7" s="40">
        <v>8</v>
      </c>
      <c r="G7" s="22">
        <f>ROUND(C7*F7/100,2)</f>
        <v>8869.12</v>
      </c>
      <c r="H7" s="85"/>
      <c r="I7" s="86"/>
      <c r="J7" s="86"/>
      <c r="K7" s="86"/>
      <c r="L7" s="87"/>
      <c r="M7" s="85"/>
      <c r="N7" s="86"/>
      <c r="O7" s="87"/>
    </row>
    <row r="8" spans="1:15" s="7" customFormat="1" ht="15" customHeight="1">
      <c r="A8" s="64"/>
      <c r="B8" s="19" t="s">
        <v>7</v>
      </c>
      <c r="C8" s="20">
        <f>IF(Salaire_brut&gt;Plafond_SS*4,Salaire_brut-Plafond_SS*4,0)</f>
        <v>0</v>
      </c>
      <c r="D8" s="39">
        <v>4</v>
      </c>
      <c r="E8" s="21">
        <f>ROUND(C8*D8/100,2)</f>
        <v>0</v>
      </c>
      <c r="F8" s="40">
        <v>8</v>
      </c>
      <c r="G8" s="22">
        <f>ROUND(C8*F8/100,2)</f>
        <v>0</v>
      </c>
      <c r="H8" s="85"/>
      <c r="I8" s="86"/>
      <c r="J8" s="86"/>
      <c r="K8" s="86"/>
      <c r="L8" s="87"/>
      <c r="M8" s="85"/>
      <c r="N8" s="86"/>
      <c r="O8" s="87"/>
    </row>
    <row r="9" spans="1:15" s="33" customFormat="1" ht="15" customHeight="1">
      <c r="A9" s="64"/>
      <c r="B9" s="23" t="s">
        <v>8</v>
      </c>
      <c r="C9" s="53"/>
      <c r="D9" s="54"/>
      <c r="E9" s="24">
        <f>SUM(E6:E8)</f>
        <v>4434.56</v>
      </c>
      <c r="F9" s="25"/>
      <c r="G9" s="26">
        <f>SUM(G6:G8)</f>
        <v>8869.12</v>
      </c>
      <c r="H9" s="27">
        <f>E9+G9</f>
        <v>13303.68</v>
      </c>
      <c r="I9" s="28">
        <f>ROUND(MAX(MIN(8%*Salaire_brut,Plafond_SS*8*8%)-AbondPERCO,0),0)</f>
        <v>12160</v>
      </c>
      <c r="J9" s="29">
        <f>MAX(0,H9-I9)</f>
        <v>1143.6800000000003</v>
      </c>
      <c r="K9" s="30">
        <f>IF(H9=0,0,ROUND(J9*E9/H9,2))</f>
        <v>381.23</v>
      </c>
      <c r="L9" s="31">
        <f>J9-K9</f>
        <v>762.4500000000003</v>
      </c>
      <c r="M9" s="27">
        <f>G9</f>
        <v>8869.12</v>
      </c>
      <c r="N9" s="28">
        <f>ROUND(MAX(MAX((Plafond_SS*5%),MIN(Salaire_brut,Plafond_SS*5)*5%)-AbondPERCO,0),2)</f>
        <v>7600</v>
      </c>
      <c r="O9" s="32">
        <f>MAX(0,M9-N9)</f>
        <v>1269.1200000000008</v>
      </c>
    </row>
    <row r="10" spans="1:15" s="7" customFormat="1" ht="15" customHeight="1">
      <c r="A10" s="64" t="s">
        <v>11</v>
      </c>
      <c r="B10" s="19" t="s">
        <v>5</v>
      </c>
      <c r="C10" s="20">
        <f>IF(Salaire_brut&gt;Plafond_SS,Plafond_SS,Salaire_brut)</f>
        <v>41136</v>
      </c>
      <c r="D10" s="39">
        <v>0.97</v>
      </c>
      <c r="E10" s="21">
        <f aca="true" t="shared" si="0" ref="E10:E15">ROUND(C10*D10/100,2)</f>
        <v>399.02</v>
      </c>
      <c r="F10" s="40">
        <v>1.95</v>
      </c>
      <c r="G10" s="22">
        <f aca="true" t="shared" si="1" ref="G10:G15">ROUND(C10*F10/100,2)</f>
        <v>802.15</v>
      </c>
      <c r="H10" s="65"/>
      <c r="I10" s="54"/>
      <c r="J10" s="54"/>
      <c r="K10" s="54"/>
      <c r="L10" s="66"/>
      <c r="M10" s="65"/>
      <c r="N10" s="54"/>
      <c r="O10" s="66"/>
    </row>
    <row r="11" spans="1:15" s="7" customFormat="1" ht="15" customHeight="1">
      <c r="A11" s="64"/>
      <c r="B11" s="19" t="s">
        <v>6</v>
      </c>
      <c r="C11" s="20">
        <f>IF(Salaire_brut&gt;Plafond_SS,MIN(Salaire_brut-Plafond_SS,Plafond_SS*3),0)</f>
        <v>110864</v>
      </c>
      <c r="D11" s="39">
        <v>2.23</v>
      </c>
      <c r="E11" s="21">
        <f t="shared" si="0"/>
        <v>2472.27</v>
      </c>
      <c r="F11" s="40">
        <v>2.23</v>
      </c>
      <c r="G11" s="22">
        <f t="shared" si="1"/>
        <v>2472.27</v>
      </c>
      <c r="H11" s="65"/>
      <c r="I11" s="54"/>
      <c r="J11" s="54"/>
      <c r="K11" s="54"/>
      <c r="L11" s="66"/>
      <c r="M11" s="65"/>
      <c r="N11" s="54"/>
      <c r="O11" s="66"/>
    </row>
    <row r="12" spans="1:15" s="7" customFormat="1" ht="15" customHeight="1">
      <c r="A12" s="64"/>
      <c r="B12" s="19" t="s">
        <v>7</v>
      </c>
      <c r="C12" s="20">
        <f>IF(Salaire_brut&gt;Plafond_SS*4,Salaire_brut-Plafond_SS*4,0)</f>
        <v>0</v>
      </c>
      <c r="D12" s="39">
        <v>2.23</v>
      </c>
      <c r="E12" s="21">
        <f t="shared" si="0"/>
        <v>0</v>
      </c>
      <c r="F12" s="40">
        <v>2.23</v>
      </c>
      <c r="G12" s="22">
        <f t="shared" si="1"/>
        <v>0</v>
      </c>
      <c r="H12" s="65"/>
      <c r="I12" s="54"/>
      <c r="J12" s="54"/>
      <c r="K12" s="54"/>
      <c r="L12" s="66"/>
      <c r="M12" s="65"/>
      <c r="N12" s="54"/>
      <c r="O12" s="66"/>
    </row>
    <row r="13" spans="1:15" s="7" customFormat="1" ht="15" customHeight="1">
      <c r="A13" s="64" t="s">
        <v>22</v>
      </c>
      <c r="B13" s="19" t="s">
        <v>5</v>
      </c>
      <c r="C13" s="20">
        <f>IF(Salaire_brut&gt;Plafond_SS,Plafond_SS,Salaire_brut)</f>
        <v>41136</v>
      </c>
      <c r="D13" s="39">
        <v>1.207</v>
      </c>
      <c r="E13" s="21">
        <f t="shared" si="0"/>
        <v>496.51</v>
      </c>
      <c r="F13" s="40">
        <v>3.623</v>
      </c>
      <c r="G13" s="49">
        <f t="shared" si="1"/>
        <v>1490.36</v>
      </c>
      <c r="H13" s="65"/>
      <c r="I13" s="54"/>
      <c r="J13" s="54"/>
      <c r="K13" s="54"/>
      <c r="L13" s="66"/>
      <c r="M13" s="65"/>
      <c r="N13" s="54"/>
      <c r="O13" s="66"/>
    </row>
    <row r="14" spans="1:15" s="7" customFormat="1" ht="15" customHeight="1">
      <c r="A14" s="64"/>
      <c r="B14" s="19" t="s">
        <v>6</v>
      </c>
      <c r="C14" s="20">
        <f>IF(Salaire_brut&gt;Plafond_SS,MIN(Salaire_brut-Plafond_SS,Plafond_SS*3),0)</f>
        <v>110864</v>
      </c>
      <c r="D14" s="39"/>
      <c r="E14" s="21">
        <f t="shared" si="0"/>
        <v>0</v>
      </c>
      <c r="F14" s="40"/>
      <c r="G14" s="50">
        <f t="shared" si="1"/>
        <v>0</v>
      </c>
      <c r="H14" s="65"/>
      <c r="I14" s="54"/>
      <c r="J14" s="54"/>
      <c r="K14" s="54"/>
      <c r="L14" s="66"/>
      <c r="M14" s="65"/>
      <c r="N14" s="54"/>
      <c r="O14" s="66"/>
    </row>
    <row r="15" spans="1:15" s="7" customFormat="1" ht="15" customHeight="1">
      <c r="A15" s="64"/>
      <c r="B15" s="19" t="s">
        <v>7</v>
      </c>
      <c r="C15" s="20">
        <f>IF(Salaire_brut&gt;Plafond_SS*4,Salaire_brut-Plafond_SS*4,0)</f>
        <v>0</v>
      </c>
      <c r="D15" s="39"/>
      <c r="E15" s="21">
        <f t="shared" si="0"/>
        <v>0</v>
      </c>
      <c r="F15" s="40"/>
      <c r="G15" s="50">
        <f t="shared" si="1"/>
        <v>0</v>
      </c>
      <c r="H15" s="65"/>
      <c r="I15" s="54"/>
      <c r="J15" s="54"/>
      <c r="K15" s="54"/>
      <c r="L15" s="66"/>
      <c r="M15" s="65"/>
      <c r="N15" s="54"/>
      <c r="O15" s="66"/>
    </row>
    <row r="16" spans="1:15" s="7" customFormat="1" ht="15" customHeight="1">
      <c r="A16" s="64"/>
      <c r="B16" s="19" t="s">
        <v>23</v>
      </c>
      <c r="C16" s="67"/>
      <c r="D16" s="68"/>
      <c r="E16" s="37"/>
      <c r="F16" s="34"/>
      <c r="G16" s="38"/>
      <c r="H16" s="65"/>
      <c r="I16" s="54"/>
      <c r="J16" s="54"/>
      <c r="K16" s="54"/>
      <c r="L16" s="66"/>
      <c r="M16" s="65"/>
      <c r="N16" s="54"/>
      <c r="O16" s="66"/>
    </row>
    <row r="17" spans="1:15" s="33" customFormat="1" ht="18" customHeight="1">
      <c r="A17" s="51" t="s">
        <v>24</v>
      </c>
      <c r="B17" s="52"/>
      <c r="C17" s="53"/>
      <c r="D17" s="54"/>
      <c r="E17" s="24">
        <f>SUM(E10:E16)</f>
        <v>3367.8</v>
      </c>
      <c r="F17" s="41"/>
      <c r="G17" s="26">
        <f>SUM(G10:G16)</f>
        <v>4764.78</v>
      </c>
      <c r="H17" s="48">
        <f>E17+G17-SUM(G13:G16)</f>
        <v>6642.22</v>
      </c>
      <c r="I17" s="28">
        <f>ROUND(MIN((5%*Plafond_SS)+(2%*(Salaire_brut+SUM(G13:G16))),2%*8*Plafond_SS),0)</f>
        <v>5127</v>
      </c>
      <c r="J17" s="29">
        <f>MAX(0,H17-I17)</f>
        <v>1515.2200000000003</v>
      </c>
      <c r="K17" s="30">
        <f>IF(H17=0,0,ROUND(J17*E17/H17,2))</f>
        <v>768.26</v>
      </c>
      <c r="L17" s="31">
        <f>J17-K17</f>
        <v>746.9600000000003</v>
      </c>
      <c r="M17" s="27">
        <f>G17</f>
        <v>4764.78</v>
      </c>
      <c r="N17" s="28">
        <f>ROUND(MIN((6%*Plafond_SS)+(1.5%*Salaire_brut),12%*Plafond_SS),2)</f>
        <v>4748.16</v>
      </c>
      <c r="O17" s="32">
        <f>MAX(0,M17-N17)</f>
        <v>16.61999999999989</v>
      </c>
    </row>
    <row r="18" spans="1:15" s="45" customFormat="1" ht="18" customHeight="1" thickBot="1">
      <c r="A18" s="55" t="s">
        <v>26</v>
      </c>
      <c r="B18" s="56"/>
      <c r="C18" s="57"/>
      <c r="D18" s="58"/>
      <c r="E18" s="58"/>
      <c r="F18" s="58"/>
      <c r="G18" s="59"/>
      <c r="H18" s="44"/>
      <c r="I18" s="42"/>
      <c r="J18" s="43"/>
      <c r="K18" s="46">
        <f>K9+K17</f>
        <v>1149.49</v>
      </c>
      <c r="L18" s="46">
        <f>L9+L17</f>
        <v>1509.4100000000005</v>
      </c>
      <c r="M18" s="44"/>
      <c r="N18" s="42"/>
      <c r="O18" s="47">
        <f>O9+O17</f>
        <v>1285.7400000000007</v>
      </c>
    </row>
    <row r="19" spans="1:15" ht="16.5" customHeight="1">
      <c r="A19" s="60" t="s">
        <v>25</v>
      </c>
      <c r="B19" s="62" t="s">
        <v>45</v>
      </c>
      <c r="C19" s="62"/>
      <c r="D19" s="62"/>
      <c r="E19" s="62"/>
      <c r="F19" s="62"/>
      <c r="G19" s="62"/>
      <c r="H19" s="62"/>
      <c r="I19" s="62"/>
      <c r="J19" s="62"/>
      <c r="K19" s="62"/>
      <c r="L19" s="62"/>
      <c r="M19" s="62"/>
      <c r="N19" s="62"/>
      <c r="O19" s="62"/>
    </row>
    <row r="20" spans="1:15" ht="16.5" customHeight="1">
      <c r="A20" s="61"/>
      <c r="B20" s="63"/>
      <c r="C20" s="63"/>
      <c r="D20" s="63"/>
      <c r="E20" s="63"/>
      <c r="F20" s="63"/>
      <c r="G20" s="63"/>
      <c r="H20" s="63"/>
      <c r="I20" s="63"/>
      <c r="J20" s="63"/>
      <c r="K20" s="63"/>
      <c r="L20" s="63"/>
      <c r="M20" s="63"/>
      <c r="N20" s="63"/>
      <c r="O20" s="63"/>
    </row>
    <row r="21" spans="1:15" ht="16.5" customHeight="1">
      <c r="A21" s="61"/>
      <c r="B21" s="63"/>
      <c r="C21" s="63"/>
      <c r="D21" s="63"/>
      <c r="E21" s="63"/>
      <c r="F21" s="63"/>
      <c r="G21" s="63"/>
      <c r="H21" s="63"/>
      <c r="I21" s="63"/>
      <c r="J21" s="63"/>
      <c r="K21" s="63"/>
      <c r="L21" s="63"/>
      <c r="M21" s="63"/>
      <c r="N21" s="63"/>
      <c r="O21" s="63"/>
    </row>
    <row r="22" spans="1:15" ht="16.5" customHeight="1">
      <c r="A22" s="61"/>
      <c r="B22" s="63"/>
      <c r="C22" s="63"/>
      <c r="D22" s="63"/>
      <c r="E22" s="63"/>
      <c r="F22" s="63"/>
      <c r="G22" s="63"/>
      <c r="H22" s="63"/>
      <c r="I22" s="63"/>
      <c r="J22" s="63"/>
      <c r="K22" s="63"/>
      <c r="L22" s="63"/>
      <c r="M22" s="63"/>
      <c r="N22" s="63"/>
      <c r="O22" s="63"/>
    </row>
    <row r="23" spans="1:15" ht="16.5" customHeight="1">
      <c r="A23" s="61"/>
      <c r="B23" s="63"/>
      <c r="C23" s="63"/>
      <c r="D23" s="63"/>
      <c r="E23" s="63"/>
      <c r="F23" s="63"/>
      <c r="G23" s="63"/>
      <c r="H23" s="63"/>
      <c r="I23" s="63"/>
      <c r="J23" s="63"/>
      <c r="K23" s="63"/>
      <c r="L23" s="63"/>
      <c r="M23" s="63"/>
      <c r="N23" s="63"/>
      <c r="O23" s="63"/>
    </row>
    <row r="24" spans="1:15" ht="16.5" customHeight="1">
      <c r="A24" s="61"/>
      <c r="B24" s="63"/>
      <c r="C24" s="63"/>
      <c r="D24" s="63"/>
      <c r="E24" s="63"/>
      <c r="F24" s="63"/>
      <c r="G24" s="63"/>
      <c r="H24" s="63"/>
      <c r="I24" s="63"/>
      <c r="J24" s="63"/>
      <c r="K24" s="63"/>
      <c r="L24" s="63"/>
      <c r="M24" s="63"/>
      <c r="N24" s="63"/>
      <c r="O24" s="63"/>
    </row>
    <row r="25" spans="1:15" ht="16.5" customHeight="1">
      <c r="A25" s="61"/>
      <c r="B25" s="63"/>
      <c r="C25" s="63"/>
      <c r="D25" s="63"/>
      <c r="E25" s="63"/>
      <c r="F25" s="63"/>
      <c r="G25" s="63"/>
      <c r="H25" s="63"/>
      <c r="I25" s="63"/>
      <c r="J25" s="63"/>
      <c r="K25" s="63"/>
      <c r="L25" s="63"/>
      <c r="M25" s="63"/>
      <c r="N25" s="63"/>
      <c r="O25" s="63"/>
    </row>
    <row r="26" spans="1:15" ht="16.5" customHeight="1">
      <c r="A26" s="61"/>
      <c r="B26" s="63"/>
      <c r="C26" s="63"/>
      <c r="D26" s="63"/>
      <c r="E26" s="63"/>
      <c r="F26" s="63"/>
      <c r="G26" s="63"/>
      <c r="H26" s="63"/>
      <c r="I26" s="63"/>
      <c r="J26" s="63"/>
      <c r="K26" s="63"/>
      <c r="L26" s="63"/>
      <c r="M26" s="63"/>
      <c r="N26" s="63"/>
      <c r="O26" s="63"/>
    </row>
    <row r="27" spans="1:15" ht="16.5" customHeight="1">
      <c r="A27" s="61"/>
      <c r="B27" s="63"/>
      <c r="C27" s="63"/>
      <c r="D27" s="63"/>
      <c r="E27" s="63"/>
      <c r="F27" s="63"/>
      <c r="G27" s="63"/>
      <c r="H27" s="63"/>
      <c r="I27" s="63"/>
      <c r="J27" s="63"/>
      <c r="K27" s="63"/>
      <c r="L27" s="63"/>
      <c r="M27" s="63"/>
      <c r="N27" s="63"/>
      <c r="O27" s="63"/>
    </row>
    <row r="28" spans="1:15" ht="16.5" customHeight="1">
      <c r="A28" s="61"/>
      <c r="B28" s="63"/>
      <c r="C28" s="63"/>
      <c r="D28" s="63"/>
      <c r="E28" s="63"/>
      <c r="F28" s="63"/>
      <c r="G28" s="63"/>
      <c r="H28" s="63"/>
      <c r="I28" s="63"/>
      <c r="J28" s="63"/>
      <c r="K28" s="63"/>
      <c r="L28" s="63"/>
      <c r="M28" s="63"/>
      <c r="N28" s="63"/>
      <c r="O28" s="63"/>
    </row>
    <row r="29" spans="1:15" ht="16.5" customHeight="1">
      <c r="A29" s="61"/>
      <c r="B29" s="63"/>
      <c r="C29" s="63"/>
      <c r="D29" s="63"/>
      <c r="E29" s="63"/>
      <c r="F29" s="63"/>
      <c r="G29" s="63"/>
      <c r="H29" s="63"/>
      <c r="I29" s="63"/>
      <c r="J29" s="63"/>
      <c r="K29" s="63"/>
      <c r="L29" s="63"/>
      <c r="M29" s="63"/>
      <c r="N29" s="63"/>
      <c r="O29" s="63"/>
    </row>
  </sheetData>
  <sheetProtection sheet="1" objects="1" scenarios="1"/>
  <mergeCells count="22">
    <mergeCell ref="A17:B17"/>
    <mergeCell ref="C17:D17"/>
    <mergeCell ref="A18:B18"/>
    <mergeCell ref="C18:G18"/>
    <mergeCell ref="A19:A29"/>
    <mergeCell ref="B19:O29"/>
    <mergeCell ref="C9:D9"/>
    <mergeCell ref="A10:A12"/>
    <mergeCell ref="H10:L16"/>
    <mergeCell ref="M10:O16"/>
    <mergeCell ref="A13:A16"/>
    <mergeCell ref="C16:D16"/>
    <mergeCell ref="H1:L1"/>
    <mergeCell ref="M1:O1"/>
    <mergeCell ref="A3:B3"/>
    <mergeCell ref="D3:E5"/>
    <mergeCell ref="F3:G5"/>
    <mergeCell ref="H3:L8"/>
    <mergeCell ref="M3:O8"/>
    <mergeCell ref="A4:B4"/>
    <mergeCell ref="A5:B5"/>
    <mergeCell ref="A6:A9"/>
  </mergeCells>
  <printOptions horizontalCentered="1"/>
  <pageMargins left="0.3937007874015748" right="0.3937007874015748" top="0.984251968503937" bottom="0.984251968503937" header="0.5118110236220472" footer="0.5118110236220472"/>
  <pageSetup fitToHeight="0" fitToWidth="1" horizontalDpi="300" verticalDpi="300" orientation="landscape" paperSize="9" scale="93" r:id="rId3"/>
  <headerFooter alignWithMargins="0">
    <oddHeader>&amp;C&amp;"Arial,Gras"&amp;12Retraite et Prévoyance - Réintégration des excédents</oddHead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O29"/>
  <sheetViews>
    <sheetView zoomScalePageLayoutView="0" workbookViewId="0" topLeftCell="A1">
      <selection activeCell="A1" sqref="A1"/>
    </sheetView>
  </sheetViews>
  <sheetFormatPr defaultColWidth="11.421875" defaultRowHeight="12.75"/>
  <cols>
    <col min="1" max="1" width="23.140625" style="35" customWidth="1"/>
    <col min="2" max="2" width="8.7109375" style="36" customWidth="1"/>
    <col min="3" max="3" width="11.00390625" style="35" customWidth="1"/>
    <col min="4" max="4" width="6.8515625" style="35" customWidth="1"/>
    <col min="5" max="5" width="9.421875" style="35" customWidth="1"/>
    <col min="6" max="6" width="7.140625" style="35" customWidth="1"/>
    <col min="7" max="7" width="9.421875" style="35" customWidth="1"/>
    <col min="8" max="8" width="9.8515625" style="35" customWidth="1"/>
    <col min="9" max="10" width="9.7109375" style="35" customWidth="1"/>
    <col min="11" max="12" width="10.28125" style="35" customWidth="1"/>
    <col min="13" max="13" width="9.8515625" style="35" customWidth="1"/>
    <col min="14" max="15" width="9.7109375" style="35" customWidth="1"/>
    <col min="16" max="16384" width="11.421875" style="35" customWidth="1"/>
  </cols>
  <sheetData>
    <row r="1" spans="1:15" s="7" customFormat="1" ht="21" customHeight="1">
      <c r="A1" s="3"/>
      <c r="B1" s="4"/>
      <c r="C1" s="5" t="s">
        <v>19</v>
      </c>
      <c r="D1" s="5"/>
      <c r="E1" s="5"/>
      <c r="F1" s="5"/>
      <c r="G1" s="6"/>
      <c r="H1" s="69" t="s">
        <v>15</v>
      </c>
      <c r="I1" s="70"/>
      <c r="J1" s="70"/>
      <c r="K1" s="70"/>
      <c r="L1" s="71"/>
      <c r="M1" s="72" t="s">
        <v>20</v>
      </c>
      <c r="N1" s="73"/>
      <c r="O1" s="74"/>
    </row>
    <row r="2" spans="1:15" s="18" customFormat="1" ht="23.25" customHeight="1">
      <c r="A2" s="8" t="s">
        <v>21</v>
      </c>
      <c r="B2" s="9"/>
      <c r="C2" s="9" t="s">
        <v>3</v>
      </c>
      <c r="D2" s="10" t="s">
        <v>0</v>
      </c>
      <c r="E2" s="9" t="s">
        <v>9</v>
      </c>
      <c r="F2" s="10" t="s">
        <v>1</v>
      </c>
      <c r="G2" s="11" t="s">
        <v>10</v>
      </c>
      <c r="H2" s="12" t="s">
        <v>13</v>
      </c>
      <c r="I2" s="13" t="s">
        <v>12</v>
      </c>
      <c r="J2" s="13" t="s">
        <v>14</v>
      </c>
      <c r="K2" s="13" t="s">
        <v>17</v>
      </c>
      <c r="L2" s="14" t="s">
        <v>16</v>
      </c>
      <c r="M2" s="15" t="s">
        <v>18</v>
      </c>
      <c r="N2" s="16" t="s">
        <v>31</v>
      </c>
      <c r="O2" s="17" t="s">
        <v>14</v>
      </c>
    </row>
    <row r="3" spans="1:15" s="7" customFormat="1" ht="18" customHeight="1">
      <c r="A3" s="75" t="s">
        <v>2</v>
      </c>
      <c r="B3" s="76"/>
      <c r="C3" s="1">
        <v>152000</v>
      </c>
      <c r="D3" s="77"/>
      <c r="E3" s="78"/>
      <c r="F3" s="81"/>
      <c r="G3" s="82"/>
      <c r="H3" s="85"/>
      <c r="I3" s="86"/>
      <c r="J3" s="86"/>
      <c r="K3" s="86"/>
      <c r="L3" s="87"/>
      <c r="M3" s="85"/>
      <c r="N3" s="86"/>
      <c r="O3" s="87"/>
    </row>
    <row r="4" spans="1:15" s="7" customFormat="1" ht="18" customHeight="1">
      <c r="A4" s="64" t="s">
        <v>43</v>
      </c>
      <c r="B4" s="88"/>
      <c r="C4" s="2"/>
      <c r="D4" s="79"/>
      <c r="E4" s="80"/>
      <c r="F4" s="83"/>
      <c r="G4" s="84"/>
      <c r="H4" s="85"/>
      <c r="I4" s="86"/>
      <c r="J4" s="86"/>
      <c r="K4" s="86"/>
      <c r="L4" s="87"/>
      <c r="M4" s="85"/>
      <c r="N4" s="86"/>
      <c r="O4" s="87"/>
    </row>
    <row r="5" spans="1:15" s="7" customFormat="1" ht="18" customHeight="1">
      <c r="A5" s="64" t="s">
        <v>46</v>
      </c>
      <c r="B5" s="88"/>
      <c r="C5" s="2">
        <v>41136</v>
      </c>
      <c r="D5" s="79"/>
      <c r="E5" s="80"/>
      <c r="F5" s="83"/>
      <c r="G5" s="84"/>
      <c r="H5" s="85"/>
      <c r="I5" s="86"/>
      <c r="J5" s="86"/>
      <c r="K5" s="86"/>
      <c r="L5" s="87"/>
      <c r="M5" s="85"/>
      <c r="N5" s="86"/>
      <c r="O5" s="87"/>
    </row>
    <row r="6" spans="1:15" s="7" customFormat="1" ht="15" customHeight="1">
      <c r="A6" s="89" t="s">
        <v>44</v>
      </c>
      <c r="B6" s="19" t="s">
        <v>5</v>
      </c>
      <c r="C6" s="20">
        <f>IF(Salaire_brut&gt;Plafond_SS,Plafond_SS,Salaire_brut)</f>
        <v>41136</v>
      </c>
      <c r="D6" s="39"/>
      <c r="E6" s="21">
        <f>ROUND(C6*D6/100,2)</f>
        <v>0</v>
      </c>
      <c r="F6" s="40"/>
      <c r="G6" s="22">
        <f>ROUND(C6*F6/100,2)</f>
        <v>0</v>
      </c>
      <c r="H6" s="85"/>
      <c r="I6" s="86"/>
      <c r="J6" s="86"/>
      <c r="K6" s="86"/>
      <c r="L6" s="87"/>
      <c r="M6" s="85"/>
      <c r="N6" s="86"/>
      <c r="O6" s="87"/>
    </row>
    <row r="7" spans="1:15" s="7" customFormat="1" ht="15" customHeight="1">
      <c r="A7" s="64"/>
      <c r="B7" s="19" t="s">
        <v>6</v>
      </c>
      <c r="C7" s="20">
        <f>IF(Salaire_brut&gt;Plafond_SS,MIN(Salaire_brut-Plafond_SS,Plafond_SS*3),0)</f>
        <v>110864</v>
      </c>
      <c r="D7" s="39">
        <v>4</v>
      </c>
      <c r="E7" s="21">
        <f>ROUND(C7*D7/100,2)</f>
        <v>4434.56</v>
      </c>
      <c r="F7" s="40">
        <v>8</v>
      </c>
      <c r="G7" s="22">
        <f>ROUND(C7*F7/100,2)</f>
        <v>8869.12</v>
      </c>
      <c r="H7" s="85"/>
      <c r="I7" s="86"/>
      <c r="J7" s="86"/>
      <c r="K7" s="86"/>
      <c r="L7" s="87"/>
      <c r="M7" s="85"/>
      <c r="N7" s="86"/>
      <c r="O7" s="87"/>
    </row>
    <row r="8" spans="1:15" s="7" customFormat="1" ht="15" customHeight="1">
      <c r="A8" s="64"/>
      <c r="B8" s="19" t="s">
        <v>7</v>
      </c>
      <c r="C8" s="20">
        <f>IF(Salaire_brut&gt;Plafond_SS*4,Salaire_brut-Plafond_SS*4,0)</f>
        <v>0</v>
      </c>
      <c r="D8" s="39">
        <v>4</v>
      </c>
      <c r="E8" s="21">
        <f>ROUND(C8*D8/100,2)</f>
        <v>0</v>
      </c>
      <c r="F8" s="40">
        <v>8</v>
      </c>
      <c r="G8" s="22">
        <f>ROUND(C8*F8/100,2)</f>
        <v>0</v>
      </c>
      <c r="H8" s="85"/>
      <c r="I8" s="86"/>
      <c r="J8" s="86"/>
      <c r="K8" s="86"/>
      <c r="L8" s="87"/>
      <c r="M8" s="85"/>
      <c r="N8" s="86"/>
      <c r="O8" s="87"/>
    </row>
    <row r="9" spans="1:15" s="33" customFormat="1" ht="15" customHeight="1">
      <c r="A9" s="64"/>
      <c r="B9" s="23" t="s">
        <v>8</v>
      </c>
      <c r="C9" s="53"/>
      <c r="D9" s="54"/>
      <c r="E9" s="24">
        <f>SUM(E6:E8)</f>
        <v>4434.56</v>
      </c>
      <c r="F9" s="25"/>
      <c r="G9" s="26">
        <f>SUM(G6:G8)</f>
        <v>8869.12</v>
      </c>
      <c r="H9" s="27">
        <f>E9+G9</f>
        <v>13303.68</v>
      </c>
      <c r="I9" s="28">
        <f>ROUND(MAX(MIN(8%*Salaire_brut,Plafond_SS*8*8%)-AbondPERCO,0),0)</f>
        <v>12160</v>
      </c>
      <c r="J9" s="29">
        <f>MAX(0,H9-I9)</f>
        <v>1143.6800000000003</v>
      </c>
      <c r="K9" s="30">
        <f>IF(H9=0,0,ROUND(J9*E9/H9,2))</f>
        <v>381.23</v>
      </c>
      <c r="L9" s="31">
        <f>J9-K9</f>
        <v>762.4500000000003</v>
      </c>
      <c r="M9" s="27">
        <f>G9</f>
        <v>8869.12</v>
      </c>
      <c r="N9" s="28">
        <f>ROUND(MAX(MAX((Plafond_SS*5%),MIN(Salaire_brut,Plafond_SS*5)*5%)-AbondPERCO,0),2)</f>
        <v>7600</v>
      </c>
      <c r="O9" s="32">
        <f>MAX(0,M9-N9)</f>
        <v>1269.1200000000008</v>
      </c>
    </row>
    <row r="10" spans="1:15" s="7" customFormat="1" ht="15" customHeight="1">
      <c r="A10" s="64" t="s">
        <v>11</v>
      </c>
      <c r="B10" s="19" t="s">
        <v>5</v>
      </c>
      <c r="C10" s="20">
        <f>IF(Salaire_brut&gt;Plafond_SS,Plafond_SS,Salaire_brut)</f>
        <v>41136</v>
      </c>
      <c r="D10" s="39">
        <v>0.97</v>
      </c>
      <c r="E10" s="21">
        <f aca="true" t="shared" si="0" ref="E10:E15">ROUND(C10*D10/100,2)</f>
        <v>399.02</v>
      </c>
      <c r="F10" s="40">
        <v>1.95</v>
      </c>
      <c r="G10" s="22">
        <f aca="true" t="shared" si="1" ref="G10:G15">ROUND(C10*F10/100,2)</f>
        <v>802.15</v>
      </c>
      <c r="H10" s="65"/>
      <c r="I10" s="54"/>
      <c r="J10" s="54"/>
      <c r="K10" s="54"/>
      <c r="L10" s="66"/>
      <c r="M10" s="65"/>
      <c r="N10" s="54"/>
      <c r="O10" s="66"/>
    </row>
    <row r="11" spans="1:15" s="7" customFormat="1" ht="15" customHeight="1">
      <c r="A11" s="64"/>
      <c r="B11" s="19" t="s">
        <v>6</v>
      </c>
      <c r="C11" s="20">
        <f>IF(Salaire_brut&gt;Plafond_SS,MIN(Salaire_brut-Plafond_SS,Plafond_SS*3),0)</f>
        <v>110864</v>
      </c>
      <c r="D11" s="39">
        <v>2.23</v>
      </c>
      <c r="E11" s="21">
        <f t="shared" si="0"/>
        <v>2472.27</v>
      </c>
      <c r="F11" s="40">
        <v>2.23</v>
      </c>
      <c r="G11" s="22">
        <f t="shared" si="1"/>
        <v>2472.27</v>
      </c>
      <c r="H11" s="65"/>
      <c r="I11" s="54"/>
      <c r="J11" s="54"/>
      <c r="K11" s="54"/>
      <c r="L11" s="66"/>
      <c r="M11" s="65"/>
      <c r="N11" s="54"/>
      <c r="O11" s="66"/>
    </row>
    <row r="12" spans="1:15" s="7" customFormat="1" ht="15" customHeight="1">
      <c r="A12" s="64"/>
      <c r="B12" s="19" t="s">
        <v>7</v>
      </c>
      <c r="C12" s="20">
        <f>IF(Salaire_brut&gt;Plafond_SS*4,Salaire_brut-Plafond_SS*4,0)</f>
        <v>0</v>
      </c>
      <c r="D12" s="39">
        <v>2.23</v>
      </c>
      <c r="E12" s="21">
        <f t="shared" si="0"/>
        <v>0</v>
      </c>
      <c r="F12" s="40">
        <v>2.23</v>
      </c>
      <c r="G12" s="22">
        <f t="shared" si="1"/>
        <v>0</v>
      </c>
      <c r="H12" s="65"/>
      <c r="I12" s="54"/>
      <c r="J12" s="54"/>
      <c r="K12" s="54"/>
      <c r="L12" s="66"/>
      <c r="M12" s="65"/>
      <c r="N12" s="54"/>
      <c r="O12" s="66"/>
    </row>
    <row r="13" spans="1:15" s="7" customFormat="1" ht="15" customHeight="1">
      <c r="A13" s="64" t="s">
        <v>22</v>
      </c>
      <c r="B13" s="19" t="s">
        <v>5</v>
      </c>
      <c r="C13" s="20">
        <f>IF(Salaire_brut&gt;Plafond_SS,Plafond_SS,Salaire_brut)</f>
        <v>41136</v>
      </c>
      <c r="D13" s="39">
        <v>1.207</v>
      </c>
      <c r="E13" s="21">
        <f t="shared" si="0"/>
        <v>496.51</v>
      </c>
      <c r="F13" s="40">
        <v>3.623</v>
      </c>
      <c r="G13" s="49">
        <f t="shared" si="1"/>
        <v>1490.36</v>
      </c>
      <c r="H13" s="65"/>
      <c r="I13" s="54"/>
      <c r="J13" s="54"/>
      <c r="K13" s="54"/>
      <c r="L13" s="66"/>
      <c r="M13" s="65"/>
      <c r="N13" s="54"/>
      <c r="O13" s="66"/>
    </row>
    <row r="14" spans="1:15" s="7" customFormat="1" ht="15" customHeight="1">
      <c r="A14" s="64"/>
      <c r="B14" s="19" t="s">
        <v>6</v>
      </c>
      <c r="C14" s="20">
        <f>IF(Salaire_brut&gt;Plafond_SS,MIN(Salaire_brut-Plafond_SS,Plafond_SS*3),0)</f>
        <v>110864</v>
      </c>
      <c r="D14" s="39"/>
      <c r="E14" s="21">
        <f t="shared" si="0"/>
        <v>0</v>
      </c>
      <c r="F14" s="40"/>
      <c r="G14" s="50">
        <f t="shared" si="1"/>
        <v>0</v>
      </c>
      <c r="H14" s="65"/>
      <c r="I14" s="54"/>
      <c r="J14" s="54"/>
      <c r="K14" s="54"/>
      <c r="L14" s="66"/>
      <c r="M14" s="65"/>
      <c r="N14" s="54"/>
      <c r="O14" s="66"/>
    </row>
    <row r="15" spans="1:15" s="7" customFormat="1" ht="15" customHeight="1">
      <c r="A15" s="64"/>
      <c r="B15" s="19" t="s">
        <v>7</v>
      </c>
      <c r="C15" s="20">
        <f>IF(Salaire_brut&gt;Plafond_SS*4,Salaire_brut-Plafond_SS*4,0)</f>
        <v>0</v>
      </c>
      <c r="D15" s="39"/>
      <c r="E15" s="21">
        <f t="shared" si="0"/>
        <v>0</v>
      </c>
      <c r="F15" s="40"/>
      <c r="G15" s="50">
        <f t="shared" si="1"/>
        <v>0</v>
      </c>
      <c r="H15" s="65"/>
      <c r="I15" s="54"/>
      <c r="J15" s="54"/>
      <c r="K15" s="54"/>
      <c r="L15" s="66"/>
      <c r="M15" s="65"/>
      <c r="N15" s="54"/>
      <c r="O15" s="66"/>
    </row>
    <row r="16" spans="1:15" s="7" customFormat="1" ht="15" customHeight="1">
      <c r="A16" s="64"/>
      <c r="B16" s="19" t="s">
        <v>23</v>
      </c>
      <c r="C16" s="67"/>
      <c r="D16" s="68"/>
      <c r="E16" s="37"/>
      <c r="F16" s="34"/>
      <c r="G16" s="38"/>
      <c r="H16" s="65"/>
      <c r="I16" s="54"/>
      <c r="J16" s="54"/>
      <c r="K16" s="54"/>
      <c r="L16" s="66"/>
      <c r="M16" s="65"/>
      <c r="N16" s="54"/>
      <c r="O16" s="66"/>
    </row>
    <row r="17" spans="1:15" s="33" customFormat="1" ht="18" customHeight="1">
      <c r="A17" s="51" t="s">
        <v>24</v>
      </c>
      <c r="B17" s="52"/>
      <c r="C17" s="53"/>
      <c r="D17" s="54"/>
      <c r="E17" s="24">
        <f>SUM(E10:E16)</f>
        <v>3367.8</v>
      </c>
      <c r="F17" s="41"/>
      <c r="G17" s="26">
        <f>SUM(G10:G16)</f>
        <v>4764.78</v>
      </c>
      <c r="H17" s="48">
        <f>E17+G17-SUM(G13:G16)</f>
        <v>6642.22</v>
      </c>
      <c r="I17" s="28">
        <f>ROUND(MIN((5%*Plafond_SS)+(2%*(Salaire_brut+SUM(G13:G16))),2%*8*Plafond_SS),0)</f>
        <v>5127</v>
      </c>
      <c r="J17" s="29">
        <f>MAX(0,H17-I17)</f>
        <v>1515.2200000000003</v>
      </c>
      <c r="K17" s="30">
        <f>IF(H17=0,0,ROUND(J17*E17/H17,2))</f>
        <v>768.26</v>
      </c>
      <c r="L17" s="31">
        <f>J17-K17</f>
        <v>746.9600000000003</v>
      </c>
      <c r="M17" s="27">
        <f>G17</f>
        <v>4764.78</v>
      </c>
      <c r="N17" s="28">
        <f>ROUND(MIN((6%*Plafond_SS)+(1.5%*Salaire_brut),12%*Plafond_SS),2)</f>
        <v>4748.16</v>
      </c>
      <c r="O17" s="32">
        <f>MAX(0,M17-N17)</f>
        <v>16.61999999999989</v>
      </c>
    </row>
    <row r="18" spans="1:15" s="45" customFormat="1" ht="18" customHeight="1" thickBot="1">
      <c r="A18" s="55" t="s">
        <v>26</v>
      </c>
      <c r="B18" s="56"/>
      <c r="C18" s="57"/>
      <c r="D18" s="58"/>
      <c r="E18" s="58"/>
      <c r="F18" s="58"/>
      <c r="G18" s="59"/>
      <c r="H18" s="44"/>
      <c r="I18" s="42"/>
      <c r="J18" s="43"/>
      <c r="K18" s="46">
        <f>K9+K17</f>
        <v>1149.49</v>
      </c>
      <c r="L18" s="46">
        <f>L9+L17</f>
        <v>1509.4100000000005</v>
      </c>
      <c r="M18" s="44"/>
      <c r="N18" s="42"/>
      <c r="O18" s="47">
        <f>O9+O17</f>
        <v>1285.7400000000007</v>
      </c>
    </row>
    <row r="19" spans="1:15" ht="16.5" customHeight="1">
      <c r="A19" s="60" t="s">
        <v>25</v>
      </c>
      <c r="B19" s="62" t="s">
        <v>45</v>
      </c>
      <c r="C19" s="62"/>
      <c r="D19" s="62"/>
      <c r="E19" s="62"/>
      <c r="F19" s="62"/>
      <c r="G19" s="62"/>
      <c r="H19" s="62"/>
      <c r="I19" s="62"/>
      <c r="J19" s="62"/>
      <c r="K19" s="62"/>
      <c r="L19" s="62"/>
      <c r="M19" s="62"/>
      <c r="N19" s="62"/>
      <c r="O19" s="62"/>
    </row>
    <row r="20" spans="1:15" ht="16.5" customHeight="1">
      <c r="A20" s="61"/>
      <c r="B20" s="63"/>
      <c r="C20" s="63"/>
      <c r="D20" s="63"/>
      <c r="E20" s="63"/>
      <c r="F20" s="63"/>
      <c r="G20" s="63"/>
      <c r="H20" s="63"/>
      <c r="I20" s="63"/>
      <c r="J20" s="63"/>
      <c r="K20" s="63"/>
      <c r="L20" s="63"/>
      <c r="M20" s="63"/>
      <c r="N20" s="63"/>
      <c r="O20" s="63"/>
    </row>
    <row r="21" spans="1:15" ht="16.5" customHeight="1">
      <c r="A21" s="61"/>
      <c r="B21" s="63"/>
      <c r="C21" s="63"/>
      <c r="D21" s="63"/>
      <c r="E21" s="63"/>
      <c r="F21" s="63"/>
      <c r="G21" s="63"/>
      <c r="H21" s="63"/>
      <c r="I21" s="63"/>
      <c r="J21" s="63"/>
      <c r="K21" s="63"/>
      <c r="L21" s="63"/>
      <c r="M21" s="63"/>
      <c r="N21" s="63"/>
      <c r="O21" s="63"/>
    </row>
    <row r="22" spans="1:15" ht="16.5" customHeight="1">
      <c r="A22" s="61"/>
      <c r="B22" s="63"/>
      <c r="C22" s="63"/>
      <c r="D22" s="63"/>
      <c r="E22" s="63"/>
      <c r="F22" s="63"/>
      <c r="G22" s="63"/>
      <c r="H22" s="63"/>
      <c r="I22" s="63"/>
      <c r="J22" s="63"/>
      <c r="K22" s="63"/>
      <c r="L22" s="63"/>
      <c r="M22" s="63"/>
      <c r="N22" s="63"/>
      <c r="O22" s="63"/>
    </row>
    <row r="23" spans="1:15" ht="16.5" customHeight="1">
      <c r="A23" s="61"/>
      <c r="B23" s="63"/>
      <c r="C23" s="63"/>
      <c r="D23" s="63"/>
      <c r="E23" s="63"/>
      <c r="F23" s="63"/>
      <c r="G23" s="63"/>
      <c r="H23" s="63"/>
      <c r="I23" s="63"/>
      <c r="J23" s="63"/>
      <c r="K23" s="63"/>
      <c r="L23" s="63"/>
      <c r="M23" s="63"/>
      <c r="N23" s="63"/>
      <c r="O23" s="63"/>
    </row>
    <row r="24" spans="1:15" ht="16.5" customHeight="1">
      <c r="A24" s="61"/>
      <c r="B24" s="63"/>
      <c r="C24" s="63"/>
      <c r="D24" s="63"/>
      <c r="E24" s="63"/>
      <c r="F24" s="63"/>
      <c r="G24" s="63"/>
      <c r="H24" s="63"/>
      <c r="I24" s="63"/>
      <c r="J24" s="63"/>
      <c r="K24" s="63"/>
      <c r="L24" s="63"/>
      <c r="M24" s="63"/>
      <c r="N24" s="63"/>
      <c r="O24" s="63"/>
    </row>
    <row r="25" spans="1:15" ht="16.5" customHeight="1">
      <c r="A25" s="61"/>
      <c r="B25" s="63"/>
      <c r="C25" s="63"/>
      <c r="D25" s="63"/>
      <c r="E25" s="63"/>
      <c r="F25" s="63"/>
      <c r="G25" s="63"/>
      <c r="H25" s="63"/>
      <c r="I25" s="63"/>
      <c r="J25" s="63"/>
      <c r="K25" s="63"/>
      <c r="L25" s="63"/>
      <c r="M25" s="63"/>
      <c r="N25" s="63"/>
      <c r="O25" s="63"/>
    </row>
    <row r="26" spans="1:15" ht="16.5" customHeight="1">
      <c r="A26" s="61"/>
      <c r="B26" s="63"/>
      <c r="C26" s="63"/>
      <c r="D26" s="63"/>
      <c r="E26" s="63"/>
      <c r="F26" s="63"/>
      <c r="G26" s="63"/>
      <c r="H26" s="63"/>
      <c r="I26" s="63"/>
      <c r="J26" s="63"/>
      <c r="K26" s="63"/>
      <c r="L26" s="63"/>
      <c r="M26" s="63"/>
      <c r="N26" s="63"/>
      <c r="O26" s="63"/>
    </row>
    <row r="27" spans="1:15" ht="16.5" customHeight="1">
      <c r="A27" s="61"/>
      <c r="B27" s="63"/>
      <c r="C27" s="63"/>
      <c r="D27" s="63"/>
      <c r="E27" s="63"/>
      <c r="F27" s="63"/>
      <c r="G27" s="63"/>
      <c r="H27" s="63"/>
      <c r="I27" s="63"/>
      <c r="J27" s="63"/>
      <c r="K27" s="63"/>
      <c r="L27" s="63"/>
      <c r="M27" s="63"/>
      <c r="N27" s="63"/>
      <c r="O27" s="63"/>
    </row>
    <row r="28" spans="1:15" ht="16.5" customHeight="1">
      <c r="A28" s="61"/>
      <c r="B28" s="63"/>
      <c r="C28" s="63"/>
      <c r="D28" s="63"/>
      <c r="E28" s="63"/>
      <c r="F28" s="63"/>
      <c r="G28" s="63"/>
      <c r="H28" s="63"/>
      <c r="I28" s="63"/>
      <c r="J28" s="63"/>
      <c r="K28" s="63"/>
      <c r="L28" s="63"/>
      <c r="M28" s="63"/>
      <c r="N28" s="63"/>
      <c r="O28" s="63"/>
    </row>
    <row r="29" spans="1:15" ht="16.5" customHeight="1">
      <c r="A29" s="61"/>
      <c r="B29" s="63"/>
      <c r="C29" s="63"/>
      <c r="D29" s="63"/>
      <c r="E29" s="63"/>
      <c r="F29" s="63"/>
      <c r="G29" s="63"/>
      <c r="H29" s="63"/>
      <c r="I29" s="63"/>
      <c r="J29" s="63"/>
      <c r="K29" s="63"/>
      <c r="L29" s="63"/>
      <c r="M29" s="63"/>
      <c r="N29" s="63"/>
      <c r="O29" s="63"/>
    </row>
  </sheetData>
  <sheetProtection sheet="1" objects="1" scenarios="1"/>
  <mergeCells count="22">
    <mergeCell ref="H1:L1"/>
    <mergeCell ref="M1:O1"/>
    <mergeCell ref="A3:B3"/>
    <mergeCell ref="D3:E5"/>
    <mergeCell ref="F3:G5"/>
    <mergeCell ref="H3:L8"/>
    <mergeCell ref="M3:O8"/>
    <mergeCell ref="A4:B4"/>
    <mergeCell ref="A5:B5"/>
    <mergeCell ref="A6:A9"/>
    <mergeCell ref="C9:D9"/>
    <mergeCell ref="A10:A12"/>
    <mergeCell ref="H10:L16"/>
    <mergeCell ref="M10:O16"/>
    <mergeCell ref="A13:A16"/>
    <mergeCell ref="C16:D16"/>
    <mergeCell ref="A17:B17"/>
    <mergeCell ref="C17:D17"/>
    <mergeCell ref="A18:B18"/>
    <mergeCell ref="C18:G18"/>
    <mergeCell ref="A19:A29"/>
    <mergeCell ref="B19:O29"/>
  </mergeCells>
  <printOptions horizontalCentered="1"/>
  <pageMargins left="0.3937007874015748" right="0.3937007874015748" top="0.984251968503937" bottom="0.984251968503937" header="0.5118110236220472" footer="0.5118110236220472"/>
  <pageSetup fitToHeight="0" fitToWidth="1" horizontalDpi="300" verticalDpi="300" orientation="landscape" paperSize="9" scale="93" r:id="rId3"/>
  <headerFooter alignWithMargins="0">
    <oddHeader>&amp;C&amp;"Arial,Gras"&amp;12Retraite et Prévoyance - Réintégration des excédents</oddHead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O29"/>
  <sheetViews>
    <sheetView zoomScalePageLayoutView="0" workbookViewId="0" topLeftCell="A1">
      <selection activeCell="A1" sqref="A1"/>
    </sheetView>
  </sheetViews>
  <sheetFormatPr defaultColWidth="11.421875" defaultRowHeight="12.75"/>
  <cols>
    <col min="1" max="1" width="23.140625" style="35" customWidth="1"/>
    <col min="2" max="2" width="8.7109375" style="36" customWidth="1"/>
    <col min="3" max="3" width="11.00390625" style="35" customWidth="1"/>
    <col min="4" max="4" width="6.8515625" style="35" customWidth="1"/>
    <col min="5" max="5" width="9.421875" style="35" customWidth="1"/>
    <col min="6" max="6" width="7.140625" style="35" customWidth="1"/>
    <col min="7" max="7" width="9.421875" style="35" customWidth="1"/>
    <col min="8" max="8" width="9.8515625" style="35" customWidth="1"/>
    <col min="9" max="10" width="9.7109375" style="35" customWidth="1"/>
    <col min="11" max="12" width="10.28125" style="35" customWidth="1"/>
    <col min="13" max="13" width="9.8515625" style="35" customWidth="1"/>
    <col min="14" max="15" width="9.7109375" style="35" customWidth="1"/>
    <col min="16" max="16384" width="11.421875" style="35" customWidth="1"/>
  </cols>
  <sheetData>
    <row r="1" spans="1:15" s="7" customFormat="1" ht="21" customHeight="1">
      <c r="A1" s="3"/>
      <c r="B1" s="4"/>
      <c r="C1" s="5" t="s">
        <v>19</v>
      </c>
      <c r="D1" s="5"/>
      <c r="E1" s="5"/>
      <c r="F1" s="5"/>
      <c r="G1" s="6"/>
      <c r="H1" s="69" t="s">
        <v>15</v>
      </c>
      <c r="I1" s="70"/>
      <c r="J1" s="70"/>
      <c r="K1" s="70"/>
      <c r="L1" s="71"/>
      <c r="M1" s="72" t="s">
        <v>20</v>
      </c>
      <c r="N1" s="73"/>
      <c r="O1" s="74"/>
    </row>
    <row r="2" spans="1:15" s="18" customFormat="1" ht="23.25" customHeight="1">
      <c r="A2" s="8" t="s">
        <v>21</v>
      </c>
      <c r="B2" s="9"/>
      <c r="C2" s="9" t="s">
        <v>3</v>
      </c>
      <c r="D2" s="10" t="s">
        <v>0</v>
      </c>
      <c r="E2" s="9" t="s">
        <v>9</v>
      </c>
      <c r="F2" s="10" t="s">
        <v>1</v>
      </c>
      <c r="G2" s="11" t="s">
        <v>10</v>
      </c>
      <c r="H2" s="12" t="s">
        <v>13</v>
      </c>
      <c r="I2" s="13" t="s">
        <v>12</v>
      </c>
      <c r="J2" s="13" t="s">
        <v>14</v>
      </c>
      <c r="K2" s="13" t="s">
        <v>17</v>
      </c>
      <c r="L2" s="14" t="s">
        <v>16</v>
      </c>
      <c r="M2" s="15" t="s">
        <v>18</v>
      </c>
      <c r="N2" s="16" t="s">
        <v>31</v>
      </c>
      <c r="O2" s="17" t="s">
        <v>14</v>
      </c>
    </row>
    <row r="3" spans="1:15" s="7" customFormat="1" ht="18" customHeight="1">
      <c r="A3" s="75" t="s">
        <v>2</v>
      </c>
      <c r="B3" s="76"/>
      <c r="C3" s="1">
        <v>150000</v>
      </c>
      <c r="D3" s="77"/>
      <c r="E3" s="78"/>
      <c r="F3" s="81"/>
      <c r="G3" s="82"/>
      <c r="H3" s="85"/>
      <c r="I3" s="86"/>
      <c r="J3" s="86"/>
      <c r="K3" s="86"/>
      <c r="L3" s="87"/>
      <c r="M3" s="85"/>
      <c r="N3" s="86"/>
      <c r="O3" s="87"/>
    </row>
    <row r="4" spans="1:15" s="7" customFormat="1" ht="18" customHeight="1">
      <c r="A4" s="64" t="s">
        <v>43</v>
      </c>
      <c r="B4" s="88"/>
      <c r="C4" s="2"/>
      <c r="D4" s="79"/>
      <c r="E4" s="80"/>
      <c r="F4" s="83"/>
      <c r="G4" s="84"/>
      <c r="H4" s="85"/>
      <c r="I4" s="86"/>
      <c r="J4" s="86"/>
      <c r="K4" s="86"/>
      <c r="L4" s="87"/>
      <c r="M4" s="85"/>
      <c r="N4" s="86"/>
      <c r="O4" s="87"/>
    </row>
    <row r="5" spans="1:15" s="7" customFormat="1" ht="18" customHeight="1">
      <c r="A5" s="64" t="s">
        <v>42</v>
      </c>
      <c r="B5" s="88"/>
      <c r="C5" s="2">
        <v>40524</v>
      </c>
      <c r="D5" s="79"/>
      <c r="E5" s="80"/>
      <c r="F5" s="83"/>
      <c r="G5" s="84"/>
      <c r="H5" s="85"/>
      <c r="I5" s="86"/>
      <c r="J5" s="86"/>
      <c r="K5" s="86"/>
      <c r="L5" s="87"/>
      <c r="M5" s="85"/>
      <c r="N5" s="86"/>
      <c r="O5" s="87"/>
    </row>
    <row r="6" spans="1:15" s="7" customFormat="1" ht="15" customHeight="1">
      <c r="A6" s="89" t="s">
        <v>44</v>
      </c>
      <c r="B6" s="19" t="s">
        <v>5</v>
      </c>
      <c r="C6" s="20">
        <f>IF(Salaire_brut&gt;Plafond_SS,Plafond_SS,Salaire_brut)</f>
        <v>40524</v>
      </c>
      <c r="D6" s="39"/>
      <c r="E6" s="21">
        <f>ROUND(C6*D6/100,2)</f>
        <v>0</v>
      </c>
      <c r="F6" s="40"/>
      <c r="G6" s="22">
        <f>ROUND(C6*F6/100,2)</f>
        <v>0</v>
      </c>
      <c r="H6" s="85"/>
      <c r="I6" s="86"/>
      <c r="J6" s="86"/>
      <c r="K6" s="86"/>
      <c r="L6" s="87"/>
      <c r="M6" s="85"/>
      <c r="N6" s="86"/>
      <c r="O6" s="87"/>
    </row>
    <row r="7" spans="1:15" s="7" customFormat="1" ht="15" customHeight="1">
      <c r="A7" s="64"/>
      <c r="B7" s="19" t="s">
        <v>6</v>
      </c>
      <c r="C7" s="20">
        <f>IF(Salaire_brut&gt;Plafond_SS,MIN(Salaire_brut-Plafond_SS,Plafond_SS*3),0)</f>
        <v>109476</v>
      </c>
      <c r="D7" s="39">
        <v>4</v>
      </c>
      <c r="E7" s="21">
        <f>ROUND(C7*D7/100,2)</f>
        <v>4379.04</v>
      </c>
      <c r="F7" s="40">
        <v>8</v>
      </c>
      <c r="G7" s="22">
        <f>ROUND(C7*F7/100,2)</f>
        <v>8758.08</v>
      </c>
      <c r="H7" s="85"/>
      <c r="I7" s="86"/>
      <c r="J7" s="86"/>
      <c r="K7" s="86"/>
      <c r="L7" s="87"/>
      <c r="M7" s="85"/>
      <c r="N7" s="86"/>
      <c r="O7" s="87"/>
    </row>
    <row r="8" spans="1:15" s="7" customFormat="1" ht="15" customHeight="1">
      <c r="A8" s="64"/>
      <c r="B8" s="19" t="s">
        <v>7</v>
      </c>
      <c r="C8" s="20">
        <f>IF(Salaire_brut&gt;Plafond_SS*4,Salaire_brut-Plafond_SS*4,0)</f>
        <v>0</v>
      </c>
      <c r="D8" s="39">
        <v>4</v>
      </c>
      <c r="E8" s="21">
        <f>ROUND(C8*D8/100,2)</f>
        <v>0</v>
      </c>
      <c r="F8" s="40">
        <v>8</v>
      </c>
      <c r="G8" s="22">
        <f>ROUND(C8*F8/100,2)</f>
        <v>0</v>
      </c>
      <c r="H8" s="85"/>
      <c r="I8" s="86"/>
      <c r="J8" s="86"/>
      <c r="K8" s="86"/>
      <c r="L8" s="87"/>
      <c r="M8" s="85"/>
      <c r="N8" s="86"/>
      <c r="O8" s="87"/>
    </row>
    <row r="9" spans="1:15" s="33" customFormat="1" ht="15" customHeight="1">
      <c r="A9" s="64"/>
      <c r="B9" s="23" t="s">
        <v>8</v>
      </c>
      <c r="C9" s="53"/>
      <c r="D9" s="54"/>
      <c r="E9" s="24">
        <f>SUM(E6:E8)</f>
        <v>4379.04</v>
      </c>
      <c r="F9" s="25"/>
      <c r="G9" s="26">
        <f>SUM(G6:G8)</f>
        <v>8758.08</v>
      </c>
      <c r="H9" s="27">
        <f>E9+G9</f>
        <v>13137.119999999999</v>
      </c>
      <c r="I9" s="28">
        <f>ROUND(MAX(MIN(8%*Salaire_brut,Plafond_SS*8*8%)-AbondPERCO,0),0)</f>
        <v>12000</v>
      </c>
      <c r="J9" s="29">
        <f>MAX(0,H9-I9)</f>
        <v>1137.119999999999</v>
      </c>
      <c r="K9" s="30">
        <f>IF(H9=0,0,ROUND(J9*E9/H9,2))</f>
        <v>379.04</v>
      </c>
      <c r="L9" s="31">
        <f>J9-K9</f>
        <v>758.079999999999</v>
      </c>
      <c r="M9" s="27">
        <f>G9</f>
        <v>8758.08</v>
      </c>
      <c r="N9" s="28">
        <f>ROUND(MAX(MAX((Plafond_SS*5%),MIN(Salaire_brut,Plafond_SS*5)*5%)-AbondPERCO,0),2)</f>
        <v>7500</v>
      </c>
      <c r="O9" s="32">
        <f>MAX(0,M9-N9)</f>
        <v>1258.08</v>
      </c>
    </row>
    <row r="10" spans="1:15" s="7" customFormat="1" ht="15" customHeight="1">
      <c r="A10" s="64" t="s">
        <v>11</v>
      </c>
      <c r="B10" s="19" t="s">
        <v>5</v>
      </c>
      <c r="C10" s="20">
        <f>IF(Salaire_brut&gt;Plafond_SS,Plafond_SS,Salaire_brut)</f>
        <v>40524</v>
      </c>
      <c r="D10" s="39">
        <v>0.97</v>
      </c>
      <c r="E10" s="21">
        <f aca="true" t="shared" si="0" ref="E10:E15">ROUND(C10*D10/100,2)</f>
        <v>393.08</v>
      </c>
      <c r="F10" s="40">
        <v>1.95</v>
      </c>
      <c r="G10" s="22">
        <f aca="true" t="shared" si="1" ref="G10:G15">ROUND(C10*F10/100,2)</f>
        <v>790.22</v>
      </c>
      <c r="H10" s="65"/>
      <c r="I10" s="54"/>
      <c r="J10" s="54"/>
      <c r="K10" s="54"/>
      <c r="L10" s="66"/>
      <c r="M10" s="65"/>
      <c r="N10" s="54"/>
      <c r="O10" s="66"/>
    </row>
    <row r="11" spans="1:15" s="7" customFormat="1" ht="15" customHeight="1">
      <c r="A11" s="64"/>
      <c r="B11" s="19" t="s">
        <v>6</v>
      </c>
      <c r="C11" s="20">
        <f>IF(Salaire_brut&gt;Plafond_SS,MIN(Salaire_brut-Plafond_SS,Plafond_SS*3),0)</f>
        <v>109476</v>
      </c>
      <c r="D11" s="39">
        <v>2.23</v>
      </c>
      <c r="E11" s="21">
        <f t="shared" si="0"/>
        <v>2441.31</v>
      </c>
      <c r="F11" s="40">
        <v>2.23</v>
      </c>
      <c r="G11" s="22">
        <f t="shared" si="1"/>
        <v>2441.31</v>
      </c>
      <c r="H11" s="65"/>
      <c r="I11" s="54"/>
      <c r="J11" s="54"/>
      <c r="K11" s="54"/>
      <c r="L11" s="66"/>
      <c r="M11" s="65"/>
      <c r="N11" s="54"/>
      <c r="O11" s="66"/>
    </row>
    <row r="12" spans="1:15" s="7" customFormat="1" ht="15" customHeight="1">
      <c r="A12" s="64"/>
      <c r="B12" s="19" t="s">
        <v>7</v>
      </c>
      <c r="C12" s="20">
        <f>IF(Salaire_brut&gt;Plafond_SS*4,Salaire_brut-Plafond_SS*4,0)</f>
        <v>0</v>
      </c>
      <c r="D12" s="39">
        <v>2.23</v>
      </c>
      <c r="E12" s="21">
        <f t="shared" si="0"/>
        <v>0</v>
      </c>
      <c r="F12" s="40">
        <v>2.23</v>
      </c>
      <c r="G12" s="22">
        <f t="shared" si="1"/>
        <v>0</v>
      </c>
      <c r="H12" s="65"/>
      <c r="I12" s="54"/>
      <c r="J12" s="54"/>
      <c r="K12" s="54"/>
      <c r="L12" s="66"/>
      <c r="M12" s="65"/>
      <c r="N12" s="54"/>
      <c r="O12" s="66"/>
    </row>
    <row r="13" spans="1:15" s="7" customFormat="1" ht="15" customHeight="1">
      <c r="A13" s="64" t="s">
        <v>22</v>
      </c>
      <c r="B13" s="19" t="s">
        <v>5</v>
      </c>
      <c r="C13" s="20">
        <f>IF(Salaire_brut&gt;Plafond_SS,Plafond_SS,Salaire_brut)</f>
        <v>40524</v>
      </c>
      <c r="D13" s="39">
        <v>1.207</v>
      </c>
      <c r="E13" s="21">
        <f t="shared" si="0"/>
        <v>489.12</v>
      </c>
      <c r="F13" s="40">
        <v>3.623</v>
      </c>
      <c r="G13" s="49">
        <f t="shared" si="1"/>
        <v>1468.18</v>
      </c>
      <c r="H13" s="65"/>
      <c r="I13" s="54"/>
      <c r="J13" s="54"/>
      <c r="K13" s="54"/>
      <c r="L13" s="66"/>
      <c r="M13" s="65"/>
      <c r="N13" s="54"/>
      <c r="O13" s="66"/>
    </row>
    <row r="14" spans="1:15" s="7" customFormat="1" ht="15" customHeight="1">
      <c r="A14" s="64"/>
      <c r="B14" s="19" t="s">
        <v>6</v>
      </c>
      <c r="C14" s="20">
        <f>IF(Salaire_brut&gt;Plafond_SS,MIN(Salaire_brut-Plafond_SS,Plafond_SS*3),0)</f>
        <v>109476</v>
      </c>
      <c r="D14" s="39"/>
      <c r="E14" s="21">
        <f t="shared" si="0"/>
        <v>0</v>
      </c>
      <c r="F14" s="40"/>
      <c r="G14" s="50">
        <f t="shared" si="1"/>
        <v>0</v>
      </c>
      <c r="H14" s="65"/>
      <c r="I14" s="54"/>
      <c r="J14" s="54"/>
      <c r="K14" s="54"/>
      <c r="L14" s="66"/>
      <c r="M14" s="65"/>
      <c r="N14" s="54"/>
      <c r="O14" s="66"/>
    </row>
    <row r="15" spans="1:15" s="7" customFormat="1" ht="15" customHeight="1">
      <c r="A15" s="64"/>
      <c r="B15" s="19" t="s">
        <v>7</v>
      </c>
      <c r="C15" s="20">
        <f>IF(Salaire_brut&gt;Plafond_SS*4,Salaire_brut-Plafond_SS*4,0)</f>
        <v>0</v>
      </c>
      <c r="D15" s="39"/>
      <c r="E15" s="21">
        <f t="shared" si="0"/>
        <v>0</v>
      </c>
      <c r="F15" s="40"/>
      <c r="G15" s="50">
        <f t="shared" si="1"/>
        <v>0</v>
      </c>
      <c r="H15" s="65"/>
      <c r="I15" s="54"/>
      <c r="J15" s="54"/>
      <c r="K15" s="54"/>
      <c r="L15" s="66"/>
      <c r="M15" s="65"/>
      <c r="N15" s="54"/>
      <c r="O15" s="66"/>
    </row>
    <row r="16" spans="1:15" s="7" customFormat="1" ht="15" customHeight="1">
      <c r="A16" s="64"/>
      <c r="B16" s="19" t="s">
        <v>23</v>
      </c>
      <c r="C16" s="67"/>
      <c r="D16" s="68"/>
      <c r="E16" s="37"/>
      <c r="F16" s="34"/>
      <c r="G16" s="38"/>
      <c r="H16" s="65"/>
      <c r="I16" s="54"/>
      <c r="J16" s="54"/>
      <c r="K16" s="54"/>
      <c r="L16" s="66"/>
      <c r="M16" s="65"/>
      <c r="N16" s="54"/>
      <c r="O16" s="66"/>
    </row>
    <row r="17" spans="1:15" s="33" customFormat="1" ht="18" customHeight="1">
      <c r="A17" s="51" t="s">
        <v>24</v>
      </c>
      <c r="B17" s="52"/>
      <c r="C17" s="53"/>
      <c r="D17" s="54"/>
      <c r="E17" s="24">
        <f>SUM(E10:E16)</f>
        <v>3323.5099999999998</v>
      </c>
      <c r="F17" s="41"/>
      <c r="G17" s="26">
        <f>SUM(G10:G16)</f>
        <v>4699.71</v>
      </c>
      <c r="H17" s="48">
        <f>E17+G17-SUM(G13:G16)</f>
        <v>6555.039999999999</v>
      </c>
      <c r="I17" s="28">
        <f>ROUND(MIN((5%*Plafond_SS)+(2%*(Salaire_brut+SUM(G13:G16))),2%*8*Plafond_SS),0)</f>
        <v>5056</v>
      </c>
      <c r="J17" s="29">
        <f>MAX(0,H17-I17)</f>
        <v>1499.039999999999</v>
      </c>
      <c r="K17" s="30">
        <f>IF(H17=0,0,ROUND(J17*E17/H17,2))</f>
        <v>760.04</v>
      </c>
      <c r="L17" s="31">
        <f>J17-K17</f>
        <v>738.9999999999991</v>
      </c>
      <c r="M17" s="27">
        <f>G17</f>
        <v>4699.71</v>
      </c>
      <c r="N17" s="28">
        <f>ROUND(MIN((6%*Plafond_SS)+(1.5%*Salaire_brut),12%*Plafond_SS),2)</f>
        <v>4681.44</v>
      </c>
      <c r="O17" s="32">
        <f>MAX(0,M17-N17)</f>
        <v>18.270000000000437</v>
      </c>
    </row>
    <row r="18" spans="1:15" s="45" customFormat="1" ht="18" customHeight="1" thickBot="1">
      <c r="A18" s="55" t="s">
        <v>26</v>
      </c>
      <c r="B18" s="56"/>
      <c r="C18" s="57"/>
      <c r="D18" s="58"/>
      <c r="E18" s="58"/>
      <c r="F18" s="58"/>
      <c r="G18" s="59"/>
      <c r="H18" s="44"/>
      <c r="I18" s="42"/>
      <c r="J18" s="43"/>
      <c r="K18" s="46">
        <f>K9+K17</f>
        <v>1139.08</v>
      </c>
      <c r="L18" s="46">
        <f>L9+L17</f>
        <v>1497.079999999998</v>
      </c>
      <c r="M18" s="44"/>
      <c r="N18" s="42"/>
      <c r="O18" s="47">
        <f>O9+O17</f>
        <v>1276.3500000000004</v>
      </c>
    </row>
    <row r="19" spans="1:15" ht="16.5" customHeight="1">
      <c r="A19" s="60" t="s">
        <v>25</v>
      </c>
      <c r="B19" s="62" t="s">
        <v>45</v>
      </c>
      <c r="C19" s="62"/>
      <c r="D19" s="62"/>
      <c r="E19" s="62"/>
      <c r="F19" s="62"/>
      <c r="G19" s="62"/>
      <c r="H19" s="62"/>
      <c r="I19" s="62"/>
      <c r="J19" s="62"/>
      <c r="K19" s="62"/>
      <c r="L19" s="62"/>
      <c r="M19" s="62"/>
      <c r="N19" s="62"/>
      <c r="O19" s="62"/>
    </row>
    <row r="20" spans="1:15" ht="16.5" customHeight="1">
      <c r="A20" s="61"/>
      <c r="B20" s="63"/>
      <c r="C20" s="63"/>
      <c r="D20" s="63"/>
      <c r="E20" s="63"/>
      <c r="F20" s="63"/>
      <c r="G20" s="63"/>
      <c r="H20" s="63"/>
      <c r="I20" s="63"/>
      <c r="J20" s="63"/>
      <c r="K20" s="63"/>
      <c r="L20" s="63"/>
      <c r="M20" s="63"/>
      <c r="N20" s="63"/>
      <c r="O20" s="63"/>
    </row>
    <row r="21" spans="1:15" ht="16.5" customHeight="1">
      <c r="A21" s="61"/>
      <c r="B21" s="63"/>
      <c r="C21" s="63"/>
      <c r="D21" s="63"/>
      <c r="E21" s="63"/>
      <c r="F21" s="63"/>
      <c r="G21" s="63"/>
      <c r="H21" s="63"/>
      <c r="I21" s="63"/>
      <c r="J21" s="63"/>
      <c r="K21" s="63"/>
      <c r="L21" s="63"/>
      <c r="M21" s="63"/>
      <c r="N21" s="63"/>
      <c r="O21" s="63"/>
    </row>
    <row r="22" spans="1:15" ht="16.5" customHeight="1">
      <c r="A22" s="61"/>
      <c r="B22" s="63"/>
      <c r="C22" s="63"/>
      <c r="D22" s="63"/>
      <c r="E22" s="63"/>
      <c r="F22" s="63"/>
      <c r="G22" s="63"/>
      <c r="H22" s="63"/>
      <c r="I22" s="63"/>
      <c r="J22" s="63"/>
      <c r="K22" s="63"/>
      <c r="L22" s="63"/>
      <c r="M22" s="63"/>
      <c r="N22" s="63"/>
      <c r="O22" s="63"/>
    </row>
    <row r="23" spans="1:15" ht="16.5" customHeight="1">
      <c r="A23" s="61"/>
      <c r="B23" s="63"/>
      <c r="C23" s="63"/>
      <c r="D23" s="63"/>
      <c r="E23" s="63"/>
      <c r="F23" s="63"/>
      <c r="G23" s="63"/>
      <c r="H23" s="63"/>
      <c r="I23" s="63"/>
      <c r="J23" s="63"/>
      <c r="K23" s="63"/>
      <c r="L23" s="63"/>
      <c r="M23" s="63"/>
      <c r="N23" s="63"/>
      <c r="O23" s="63"/>
    </row>
    <row r="24" spans="1:15" ht="16.5" customHeight="1">
      <c r="A24" s="61"/>
      <c r="B24" s="63"/>
      <c r="C24" s="63"/>
      <c r="D24" s="63"/>
      <c r="E24" s="63"/>
      <c r="F24" s="63"/>
      <c r="G24" s="63"/>
      <c r="H24" s="63"/>
      <c r="I24" s="63"/>
      <c r="J24" s="63"/>
      <c r="K24" s="63"/>
      <c r="L24" s="63"/>
      <c r="M24" s="63"/>
      <c r="N24" s="63"/>
      <c r="O24" s="63"/>
    </row>
    <row r="25" spans="1:15" ht="16.5" customHeight="1">
      <c r="A25" s="61"/>
      <c r="B25" s="63"/>
      <c r="C25" s="63"/>
      <c r="D25" s="63"/>
      <c r="E25" s="63"/>
      <c r="F25" s="63"/>
      <c r="G25" s="63"/>
      <c r="H25" s="63"/>
      <c r="I25" s="63"/>
      <c r="J25" s="63"/>
      <c r="K25" s="63"/>
      <c r="L25" s="63"/>
      <c r="M25" s="63"/>
      <c r="N25" s="63"/>
      <c r="O25" s="63"/>
    </row>
    <row r="26" spans="1:15" ht="16.5" customHeight="1">
      <c r="A26" s="61"/>
      <c r="B26" s="63"/>
      <c r="C26" s="63"/>
      <c r="D26" s="63"/>
      <c r="E26" s="63"/>
      <c r="F26" s="63"/>
      <c r="G26" s="63"/>
      <c r="H26" s="63"/>
      <c r="I26" s="63"/>
      <c r="J26" s="63"/>
      <c r="K26" s="63"/>
      <c r="L26" s="63"/>
      <c r="M26" s="63"/>
      <c r="N26" s="63"/>
      <c r="O26" s="63"/>
    </row>
    <row r="27" spans="1:15" ht="16.5" customHeight="1">
      <c r="A27" s="61"/>
      <c r="B27" s="63"/>
      <c r="C27" s="63"/>
      <c r="D27" s="63"/>
      <c r="E27" s="63"/>
      <c r="F27" s="63"/>
      <c r="G27" s="63"/>
      <c r="H27" s="63"/>
      <c r="I27" s="63"/>
      <c r="J27" s="63"/>
      <c r="K27" s="63"/>
      <c r="L27" s="63"/>
      <c r="M27" s="63"/>
      <c r="N27" s="63"/>
      <c r="O27" s="63"/>
    </row>
    <row r="28" spans="1:15" ht="16.5" customHeight="1">
      <c r="A28" s="61"/>
      <c r="B28" s="63"/>
      <c r="C28" s="63"/>
      <c r="D28" s="63"/>
      <c r="E28" s="63"/>
      <c r="F28" s="63"/>
      <c r="G28" s="63"/>
      <c r="H28" s="63"/>
      <c r="I28" s="63"/>
      <c r="J28" s="63"/>
      <c r="K28" s="63"/>
      <c r="L28" s="63"/>
      <c r="M28" s="63"/>
      <c r="N28" s="63"/>
      <c r="O28" s="63"/>
    </row>
    <row r="29" spans="1:15" ht="16.5" customHeight="1">
      <c r="A29" s="61"/>
      <c r="B29" s="63"/>
      <c r="C29" s="63"/>
      <c r="D29" s="63"/>
      <c r="E29" s="63"/>
      <c r="F29" s="63"/>
      <c r="G29" s="63"/>
      <c r="H29" s="63"/>
      <c r="I29" s="63"/>
      <c r="J29" s="63"/>
      <c r="K29" s="63"/>
      <c r="L29" s="63"/>
      <c r="M29" s="63"/>
      <c r="N29" s="63"/>
      <c r="O29" s="63"/>
    </row>
  </sheetData>
  <sheetProtection sheet="1" objects="1" scenarios="1"/>
  <mergeCells count="22">
    <mergeCell ref="H1:L1"/>
    <mergeCell ref="M1:O1"/>
    <mergeCell ref="A3:B3"/>
    <mergeCell ref="D3:E5"/>
    <mergeCell ref="F3:G5"/>
    <mergeCell ref="H3:L8"/>
    <mergeCell ref="M3:O8"/>
    <mergeCell ref="A4:B4"/>
    <mergeCell ref="A5:B5"/>
    <mergeCell ref="A6:A9"/>
    <mergeCell ref="C9:D9"/>
    <mergeCell ref="A10:A12"/>
    <mergeCell ref="H10:L16"/>
    <mergeCell ref="M10:O16"/>
    <mergeCell ref="A13:A16"/>
    <mergeCell ref="C16:D16"/>
    <mergeCell ref="A17:B17"/>
    <mergeCell ref="C17:D17"/>
    <mergeCell ref="A18:B18"/>
    <mergeCell ref="C18:G18"/>
    <mergeCell ref="A19:A29"/>
    <mergeCell ref="B19:O29"/>
  </mergeCells>
  <printOptions horizontalCentered="1"/>
  <pageMargins left="0.3937007874015748" right="0.3937007874015748" top="0.984251968503937" bottom="0.984251968503937" header="0.5118110236220472" footer="0.5118110236220472"/>
  <pageSetup fitToHeight="0" fitToWidth="1" horizontalDpi="300" verticalDpi="300" orientation="landscape" paperSize="9" scale="93" r:id="rId3"/>
  <headerFooter alignWithMargins="0">
    <oddHeader>&amp;C&amp;"Arial,Gras"&amp;12Retraite et Prévoyance - Réintégration des excédents</oddHeader>
  </headerFooter>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O29"/>
  <sheetViews>
    <sheetView zoomScalePageLayoutView="0" workbookViewId="0" topLeftCell="A1">
      <selection activeCell="A1" sqref="A1"/>
    </sheetView>
  </sheetViews>
  <sheetFormatPr defaultColWidth="11.421875" defaultRowHeight="12.75"/>
  <cols>
    <col min="1" max="1" width="23.140625" style="35" customWidth="1"/>
    <col min="2" max="2" width="6.140625" style="36" customWidth="1"/>
    <col min="3" max="3" width="11.00390625" style="35" customWidth="1"/>
    <col min="4" max="4" width="6.8515625" style="35" customWidth="1"/>
    <col min="5" max="5" width="9.421875" style="35" customWidth="1"/>
    <col min="6" max="6" width="7.140625" style="35" customWidth="1"/>
    <col min="7" max="7" width="9.421875" style="35" customWidth="1"/>
    <col min="8" max="8" width="9.8515625" style="35" customWidth="1"/>
    <col min="9" max="10" width="9.7109375" style="35" customWidth="1"/>
    <col min="11" max="12" width="10.28125" style="35" customWidth="1"/>
    <col min="13" max="13" width="9.8515625" style="35" customWidth="1"/>
    <col min="14" max="15" width="9.7109375" style="35" customWidth="1"/>
    <col min="16" max="16384" width="11.421875" style="35" customWidth="1"/>
  </cols>
  <sheetData>
    <row r="1" spans="1:15" s="7" customFormat="1" ht="21" customHeight="1">
      <c r="A1" s="3"/>
      <c r="B1" s="4"/>
      <c r="C1" s="5" t="s">
        <v>19</v>
      </c>
      <c r="D1" s="5"/>
      <c r="E1" s="5"/>
      <c r="F1" s="5"/>
      <c r="G1" s="6"/>
      <c r="H1" s="69" t="s">
        <v>15</v>
      </c>
      <c r="I1" s="70"/>
      <c r="J1" s="70"/>
      <c r="K1" s="70"/>
      <c r="L1" s="71"/>
      <c r="M1" s="72" t="s">
        <v>20</v>
      </c>
      <c r="N1" s="73"/>
      <c r="O1" s="74"/>
    </row>
    <row r="2" spans="1:15" s="18" customFormat="1" ht="23.25" customHeight="1">
      <c r="A2" s="8" t="s">
        <v>21</v>
      </c>
      <c r="B2" s="9"/>
      <c r="C2" s="9" t="s">
        <v>3</v>
      </c>
      <c r="D2" s="10" t="s">
        <v>0</v>
      </c>
      <c r="E2" s="9" t="s">
        <v>9</v>
      </c>
      <c r="F2" s="10" t="s">
        <v>1</v>
      </c>
      <c r="G2" s="11" t="s">
        <v>10</v>
      </c>
      <c r="H2" s="12" t="s">
        <v>13</v>
      </c>
      <c r="I2" s="13" t="s">
        <v>12</v>
      </c>
      <c r="J2" s="13" t="s">
        <v>14</v>
      </c>
      <c r="K2" s="13" t="s">
        <v>17</v>
      </c>
      <c r="L2" s="14" t="s">
        <v>16</v>
      </c>
      <c r="M2" s="15" t="s">
        <v>18</v>
      </c>
      <c r="N2" s="16" t="s">
        <v>31</v>
      </c>
      <c r="O2" s="17" t="s">
        <v>14</v>
      </c>
    </row>
    <row r="3" spans="1:15" s="7" customFormat="1" ht="18" customHeight="1">
      <c r="A3" s="75" t="s">
        <v>2</v>
      </c>
      <c r="B3" s="76"/>
      <c r="C3" s="1">
        <v>150000</v>
      </c>
      <c r="D3" s="77"/>
      <c r="E3" s="78"/>
      <c r="F3" s="81"/>
      <c r="G3" s="82"/>
      <c r="H3" s="85"/>
      <c r="I3" s="86"/>
      <c r="J3" s="86"/>
      <c r="K3" s="86"/>
      <c r="L3" s="87"/>
      <c r="M3" s="85"/>
      <c r="N3" s="86"/>
      <c r="O3" s="87"/>
    </row>
    <row r="4" spans="1:15" s="7" customFormat="1" ht="18" customHeight="1">
      <c r="A4" s="64" t="s">
        <v>28</v>
      </c>
      <c r="B4" s="88"/>
      <c r="C4" s="2"/>
      <c r="D4" s="79"/>
      <c r="E4" s="80"/>
      <c r="F4" s="83"/>
      <c r="G4" s="84"/>
      <c r="H4" s="85"/>
      <c r="I4" s="86"/>
      <c r="J4" s="86"/>
      <c r="K4" s="86"/>
      <c r="L4" s="87"/>
      <c r="M4" s="85"/>
      <c r="N4" s="86"/>
      <c r="O4" s="87"/>
    </row>
    <row r="5" spans="1:15" s="7" customFormat="1" ht="18" customHeight="1">
      <c r="A5" s="64" t="s">
        <v>41</v>
      </c>
      <c r="B5" s="88"/>
      <c r="C5" s="2">
        <v>39732</v>
      </c>
      <c r="D5" s="79"/>
      <c r="E5" s="80"/>
      <c r="F5" s="83"/>
      <c r="G5" s="84"/>
      <c r="H5" s="85"/>
      <c r="I5" s="86"/>
      <c r="J5" s="86"/>
      <c r="K5" s="86"/>
      <c r="L5" s="87"/>
      <c r="M5" s="85"/>
      <c r="N5" s="86"/>
      <c r="O5" s="87"/>
    </row>
    <row r="6" spans="1:15" s="7" customFormat="1" ht="15" customHeight="1">
      <c r="A6" s="64" t="s">
        <v>4</v>
      </c>
      <c r="B6" s="19" t="s">
        <v>5</v>
      </c>
      <c r="C6" s="20">
        <f>IF(Salaire_brut&gt;Plafond_SS,Plafond_SS,Salaire_brut)</f>
        <v>39732</v>
      </c>
      <c r="D6" s="39"/>
      <c r="E6" s="21">
        <f>ROUND(C6*D6/100,2)</f>
        <v>0</v>
      </c>
      <c r="F6" s="40"/>
      <c r="G6" s="22">
        <f>ROUND(C6*F6/100,2)</f>
        <v>0</v>
      </c>
      <c r="H6" s="85"/>
      <c r="I6" s="86"/>
      <c r="J6" s="86"/>
      <c r="K6" s="86"/>
      <c r="L6" s="87"/>
      <c r="M6" s="85"/>
      <c r="N6" s="86"/>
      <c r="O6" s="87"/>
    </row>
    <row r="7" spans="1:15" s="7" customFormat="1" ht="15" customHeight="1">
      <c r="A7" s="64"/>
      <c r="B7" s="19" t="s">
        <v>6</v>
      </c>
      <c r="C7" s="20">
        <f>IF(Salaire_brut&gt;Plafond_SS,MIN(Salaire_brut-Plafond_SS,Plafond_SS*3),0)</f>
        <v>110268</v>
      </c>
      <c r="D7" s="39">
        <v>4</v>
      </c>
      <c r="E7" s="21">
        <f>ROUND(C7*D7/100,2)</f>
        <v>4410.72</v>
      </c>
      <c r="F7" s="40">
        <v>8</v>
      </c>
      <c r="G7" s="22">
        <f>ROUND(C7*F7/100,2)</f>
        <v>8821.44</v>
      </c>
      <c r="H7" s="85"/>
      <c r="I7" s="86"/>
      <c r="J7" s="86"/>
      <c r="K7" s="86"/>
      <c r="L7" s="87"/>
      <c r="M7" s="85"/>
      <c r="N7" s="86"/>
      <c r="O7" s="87"/>
    </row>
    <row r="8" spans="1:15" s="7" customFormat="1" ht="15" customHeight="1">
      <c r="A8" s="64"/>
      <c r="B8" s="19" t="s">
        <v>7</v>
      </c>
      <c r="C8" s="20">
        <f>IF(Salaire_brut&gt;Plafond_SS*4,Salaire_brut-Plafond_SS*4,0)</f>
        <v>0</v>
      </c>
      <c r="D8" s="39">
        <v>4</v>
      </c>
      <c r="E8" s="21">
        <f>ROUND(C8*D8/100,2)</f>
        <v>0</v>
      </c>
      <c r="F8" s="40">
        <v>8</v>
      </c>
      <c r="G8" s="22">
        <f>ROUND(C8*F8/100,2)</f>
        <v>0</v>
      </c>
      <c r="H8" s="85"/>
      <c r="I8" s="86"/>
      <c r="J8" s="86"/>
      <c r="K8" s="86"/>
      <c r="L8" s="87"/>
      <c r="M8" s="85"/>
      <c r="N8" s="86"/>
      <c r="O8" s="87"/>
    </row>
    <row r="9" spans="1:15" s="33" customFormat="1" ht="15" customHeight="1">
      <c r="A9" s="64"/>
      <c r="B9" s="23" t="s">
        <v>8</v>
      </c>
      <c r="C9" s="53"/>
      <c r="D9" s="54"/>
      <c r="E9" s="24">
        <f>SUM(E6:E8)</f>
        <v>4410.72</v>
      </c>
      <c r="F9" s="25"/>
      <c r="G9" s="26">
        <f>SUM(G6:G8)</f>
        <v>8821.44</v>
      </c>
      <c r="H9" s="27">
        <f>E9+G9</f>
        <v>13232.16</v>
      </c>
      <c r="I9" s="28">
        <f>ROUND(MAX(MIN(8%*Salaire_brut,Plafond_SS*8*8%)-AbondPERCO,0),0)</f>
        <v>12000</v>
      </c>
      <c r="J9" s="29">
        <f>MAX(0,H9-I9)</f>
        <v>1232.1599999999999</v>
      </c>
      <c r="K9" s="30">
        <f>IF(H9=0,0,ROUND(J9*E9/H9,2))</f>
        <v>410.72</v>
      </c>
      <c r="L9" s="31">
        <f>J9-K9</f>
        <v>821.4399999999998</v>
      </c>
      <c r="M9" s="27">
        <f>G9</f>
        <v>8821.44</v>
      </c>
      <c r="N9" s="28">
        <f>ROUND(MAX(MAX((Plafond_SS*5%),MIN(Salaire_brut,Plafond_SS*5)*5%)-AbondPERCO,0),0)</f>
        <v>7500</v>
      </c>
      <c r="O9" s="32">
        <f>MAX(0,M9-N9)</f>
        <v>1321.4400000000005</v>
      </c>
    </row>
    <row r="10" spans="1:15" s="7" customFormat="1" ht="15" customHeight="1">
      <c r="A10" s="64" t="s">
        <v>11</v>
      </c>
      <c r="B10" s="19" t="s">
        <v>5</v>
      </c>
      <c r="C10" s="20">
        <f>IF(Salaire_brut&gt;Plafond_SS,Plafond_SS,Salaire_brut)</f>
        <v>39732</v>
      </c>
      <c r="D10" s="39">
        <v>0.97</v>
      </c>
      <c r="E10" s="21">
        <f aca="true" t="shared" si="0" ref="E10:E15">ROUND(C10*D10/100,2)</f>
        <v>385.4</v>
      </c>
      <c r="F10" s="40">
        <v>1.95</v>
      </c>
      <c r="G10" s="22">
        <f aca="true" t="shared" si="1" ref="G10:G15">ROUND(C10*F10/100,2)</f>
        <v>774.77</v>
      </c>
      <c r="H10" s="65"/>
      <c r="I10" s="54"/>
      <c r="J10" s="54"/>
      <c r="K10" s="54"/>
      <c r="L10" s="66"/>
      <c r="M10" s="65"/>
      <c r="N10" s="54"/>
      <c r="O10" s="66"/>
    </row>
    <row r="11" spans="1:15" s="7" customFormat="1" ht="15" customHeight="1">
      <c r="A11" s="64"/>
      <c r="B11" s="19" t="s">
        <v>6</v>
      </c>
      <c r="C11" s="20">
        <f>IF(Salaire_brut&gt;Plafond_SS,MIN(Salaire_brut-Plafond_SS,Plafond_SS*3),0)</f>
        <v>110268</v>
      </c>
      <c r="D11" s="39">
        <v>2.23</v>
      </c>
      <c r="E11" s="21">
        <f t="shared" si="0"/>
        <v>2458.98</v>
      </c>
      <c r="F11" s="40">
        <v>2.23</v>
      </c>
      <c r="G11" s="22">
        <f t="shared" si="1"/>
        <v>2458.98</v>
      </c>
      <c r="H11" s="65"/>
      <c r="I11" s="54"/>
      <c r="J11" s="54"/>
      <c r="K11" s="54"/>
      <c r="L11" s="66"/>
      <c r="M11" s="65"/>
      <c r="N11" s="54"/>
      <c r="O11" s="66"/>
    </row>
    <row r="12" spans="1:15" s="7" customFormat="1" ht="15" customHeight="1">
      <c r="A12" s="64"/>
      <c r="B12" s="19" t="s">
        <v>7</v>
      </c>
      <c r="C12" s="20">
        <f>IF(Salaire_brut&gt;Plafond_SS*4,Salaire_brut-Plafond_SS*4,0)</f>
        <v>0</v>
      </c>
      <c r="D12" s="39">
        <v>2.23</v>
      </c>
      <c r="E12" s="21">
        <f t="shared" si="0"/>
        <v>0</v>
      </c>
      <c r="F12" s="40">
        <v>2.23</v>
      </c>
      <c r="G12" s="22">
        <f t="shared" si="1"/>
        <v>0</v>
      </c>
      <c r="H12" s="65"/>
      <c r="I12" s="54"/>
      <c r="J12" s="54"/>
      <c r="K12" s="54"/>
      <c r="L12" s="66"/>
      <c r="M12" s="65"/>
      <c r="N12" s="54"/>
      <c r="O12" s="66"/>
    </row>
    <row r="13" spans="1:15" s="7" customFormat="1" ht="15" customHeight="1">
      <c r="A13" s="64" t="s">
        <v>22</v>
      </c>
      <c r="B13" s="19" t="s">
        <v>5</v>
      </c>
      <c r="C13" s="20">
        <f>IF(Salaire_brut&gt;Plafond_SS,Plafond_SS,Salaire_brut)</f>
        <v>39732</v>
      </c>
      <c r="D13" s="39">
        <v>1.207</v>
      </c>
      <c r="E13" s="21">
        <f t="shared" si="0"/>
        <v>479.57</v>
      </c>
      <c r="F13" s="40">
        <v>3.623</v>
      </c>
      <c r="G13" s="49">
        <f t="shared" si="1"/>
        <v>1439.49</v>
      </c>
      <c r="H13" s="65"/>
      <c r="I13" s="54"/>
      <c r="J13" s="54"/>
      <c r="K13" s="54"/>
      <c r="L13" s="66"/>
      <c r="M13" s="65"/>
      <c r="N13" s="54"/>
      <c r="O13" s="66"/>
    </row>
    <row r="14" spans="1:15" s="7" customFormat="1" ht="15" customHeight="1">
      <c r="A14" s="64"/>
      <c r="B14" s="19" t="s">
        <v>6</v>
      </c>
      <c r="C14" s="20">
        <f>IF(Salaire_brut&gt;Plafond_SS,MIN(Salaire_brut-Plafond_SS,Plafond_SS*3),0)</f>
        <v>110268</v>
      </c>
      <c r="D14" s="39"/>
      <c r="E14" s="21">
        <f t="shared" si="0"/>
        <v>0</v>
      </c>
      <c r="F14" s="40"/>
      <c r="G14" s="50">
        <f t="shared" si="1"/>
        <v>0</v>
      </c>
      <c r="H14" s="65"/>
      <c r="I14" s="54"/>
      <c r="J14" s="54"/>
      <c r="K14" s="54"/>
      <c r="L14" s="66"/>
      <c r="M14" s="65"/>
      <c r="N14" s="54"/>
      <c r="O14" s="66"/>
    </row>
    <row r="15" spans="1:15" s="7" customFormat="1" ht="15" customHeight="1">
      <c r="A15" s="64"/>
      <c r="B15" s="19" t="s">
        <v>7</v>
      </c>
      <c r="C15" s="20">
        <f>IF(Salaire_brut&gt;Plafond_SS*4,Salaire_brut-Plafond_SS*4,0)</f>
        <v>0</v>
      </c>
      <c r="D15" s="39"/>
      <c r="E15" s="21">
        <f t="shared" si="0"/>
        <v>0</v>
      </c>
      <c r="F15" s="40"/>
      <c r="G15" s="50">
        <f t="shared" si="1"/>
        <v>0</v>
      </c>
      <c r="H15" s="65"/>
      <c r="I15" s="54"/>
      <c r="J15" s="54"/>
      <c r="K15" s="54"/>
      <c r="L15" s="66"/>
      <c r="M15" s="65"/>
      <c r="N15" s="54"/>
      <c r="O15" s="66"/>
    </row>
    <row r="16" spans="1:15" s="7" customFormat="1" ht="15" customHeight="1">
      <c r="A16" s="64"/>
      <c r="B16" s="19" t="s">
        <v>23</v>
      </c>
      <c r="C16" s="67"/>
      <c r="D16" s="68"/>
      <c r="E16" s="37"/>
      <c r="F16" s="34"/>
      <c r="G16" s="38"/>
      <c r="H16" s="65"/>
      <c r="I16" s="54"/>
      <c r="J16" s="54"/>
      <c r="K16" s="54"/>
      <c r="L16" s="66"/>
      <c r="M16" s="65"/>
      <c r="N16" s="54"/>
      <c r="O16" s="66"/>
    </row>
    <row r="17" spans="1:15" s="33" customFormat="1" ht="18" customHeight="1">
      <c r="A17" s="51" t="s">
        <v>24</v>
      </c>
      <c r="B17" s="52"/>
      <c r="C17" s="53"/>
      <c r="D17" s="54"/>
      <c r="E17" s="24">
        <f>SUM(E10:E16)</f>
        <v>3323.9500000000003</v>
      </c>
      <c r="F17" s="41"/>
      <c r="G17" s="26">
        <f>SUM(G10:G16)</f>
        <v>4673.24</v>
      </c>
      <c r="H17" s="48">
        <f>E17+G17-SUM(G13:G16)</f>
        <v>6557.700000000001</v>
      </c>
      <c r="I17" s="28">
        <f>ROUND(MIN((5%*Plafond_SS)+(2%*(Salaire_brut+SUM(G13:G16))),2%*8*Plafond_SS),0)</f>
        <v>5015</v>
      </c>
      <c r="J17" s="29">
        <f>MAX(0,H17-I17)</f>
        <v>1542.7000000000007</v>
      </c>
      <c r="K17" s="30">
        <f>IF(H17=0,0,ROUND(J17*E17/H17,2))</f>
        <v>781.96</v>
      </c>
      <c r="L17" s="31">
        <f>J17-K17</f>
        <v>760.7400000000007</v>
      </c>
      <c r="M17" s="27">
        <f>G17</f>
        <v>4673.24</v>
      </c>
      <c r="N17" s="28">
        <f>ROUND(MIN((6%*Plafond_SS)+(1.5%*Salaire_brut),12%*Plafond_SS),0)</f>
        <v>4634</v>
      </c>
      <c r="O17" s="32">
        <f>MAX(0,M17-N17)</f>
        <v>39.23999999999978</v>
      </c>
    </row>
    <row r="18" spans="1:15" s="45" customFormat="1" ht="18" customHeight="1" thickBot="1">
      <c r="A18" s="55" t="s">
        <v>26</v>
      </c>
      <c r="B18" s="56"/>
      <c r="C18" s="57"/>
      <c r="D18" s="58"/>
      <c r="E18" s="58"/>
      <c r="F18" s="58"/>
      <c r="G18" s="59"/>
      <c r="H18" s="44"/>
      <c r="I18" s="42"/>
      <c r="J18" s="43"/>
      <c r="K18" s="46">
        <f>K9+K17</f>
        <v>1192.68</v>
      </c>
      <c r="L18" s="46">
        <f>L9+L17</f>
        <v>1582.1800000000005</v>
      </c>
      <c r="M18" s="44"/>
      <c r="N18" s="42"/>
      <c r="O18" s="47">
        <f>O9+O17</f>
        <v>1360.6800000000003</v>
      </c>
    </row>
    <row r="19" spans="1:15" ht="16.5" customHeight="1">
      <c r="A19" s="60" t="s">
        <v>25</v>
      </c>
      <c r="B19" s="62" t="s">
        <v>29</v>
      </c>
      <c r="C19" s="62"/>
      <c r="D19" s="62"/>
      <c r="E19" s="62"/>
      <c r="F19" s="62"/>
      <c r="G19" s="62"/>
      <c r="H19" s="62"/>
      <c r="I19" s="62"/>
      <c r="J19" s="62"/>
      <c r="K19" s="62"/>
      <c r="L19" s="62"/>
      <c r="M19" s="62"/>
      <c r="N19" s="62"/>
      <c r="O19" s="62"/>
    </row>
    <row r="20" spans="1:15" ht="16.5" customHeight="1">
      <c r="A20" s="61"/>
      <c r="B20" s="63"/>
      <c r="C20" s="63"/>
      <c r="D20" s="63"/>
      <c r="E20" s="63"/>
      <c r="F20" s="63"/>
      <c r="G20" s="63"/>
      <c r="H20" s="63"/>
      <c r="I20" s="63"/>
      <c r="J20" s="63"/>
      <c r="K20" s="63"/>
      <c r="L20" s="63"/>
      <c r="M20" s="63"/>
      <c r="N20" s="63"/>
      <c r="O20" s="63"/>
    </row>
    <row r="21" spans="1:15" ht="16.5" customHeight="1">
      <c r="A21" s="61"/>
      <c r="B21" s="63"/>
      <c r="C21" s="63"/>
      <c r="D21" s="63"/>
      <c r="E21" s="63"/>
      <c r="F21" s="63"/>
      <c r="G21" s="63"/>
      <c r="H21" s="63"/>
      <c r="I21" s="63"/>
      <c r="J21" s="63"/>
      <c r="K21" s="63"/>
      <c r="L21" s="63"/>
      <c r="M21" s="63"/>
      <c r="N21" s="63"/>
      <c r="O21" s="63"/>
    </row>
    <row r="22" spans="1:15" ht="16.5" customHeight="1">
      <c r="A22" s="61"/>
      <c r="B22" s="63"/>
      <c r="C22" s="63"/>
      <c r="D22" s="63"/>
      <c r="E22" s="63"/>
      <c r="F22" s="63"/>
      <c r="G22" s="63"/>
      <c r="H22" s="63"/>
      <c r="I22" s="63"/>
      <c r="J22" s="63"/>
      <c r="K22" s="63"/>
      <c r="L22" s="63"/>
      <c r="M22" s="63"/>
      <c r="N22" s="63"/>
      <c r="O22" s="63"/>
    </row>
    <row r="23" spans="1:15" ht="16.5" customHeight="1">
      <c r="A23" s="61"/>
      <c r="B23" s="63"/>
      <c r="C23" s="63"/>
      <c r="D23" s="63"/>
      <c r="E23" s="63"/>
      <c r="F23" s="63"/>
      <c r="G23" s="63"/>
      <c r="H23" s="63"/>
      <c r="I23" s="63"/>
      <c r="J23" s="63"/>
      <c r="K23" s="63"/>
      <c r="L23" s="63"/>
      <c r="M23" s="63"/>
      <c r="N23" s="63"/>
      <c r="O23" s="63"/>
    </row>
    <row r="24" spans="1:15" ht="16.5" customHeight="1">
      <c r="A24" s="61"/>
      <c r="B24" s="63"/>
      <c r="C24" s="63"/>
      <c r="D24" s="63"/>
      <c r="E24" s="63"/>
      <c r="F24" s="63"/>
      <c r="G24" s="63"/>
      <c r="H24" s="63"/>
      <c r="I24" s="63"/>
      <c r="J24" s="63"/>
      <c r="K24" s="63"/>
      <c r="L24" s="63"/>
      <c r="M24" s="63"/>
      <c r="N24" s="63"/>
      <c r="O24" s="63"/>
    </row>
    <row r="25" spans="1:15" ht="16.5" customHeight="1">
      <c r="A25" s="61"/>
      <c r="B25" s="63"/>
      <c r="C25" s="63"/>
      <c r="D25" s="63"/>
      <c r="E25" s="63"/>
      <c r="F25" s="63"/>
      <c r="G25" s="63"/>
      <c r="H25" s="63"/>
      <c r="I25" s="63"/>
      <c r="J25" s="63"/>
      <c r="K25" s="63"/>
      <c r="L25" s="63"/>
      <c r="M25" s="63"/>
      <c r="N25" s="63"/>
      <c r="O25" s="63"/>
    </row>
    <row r="26" spans="1:15" ht="16.5" customHeight="1">
      <c r="A26" s="61"/>
      <c r="B26" s="63"/>
      <c r="C26" s="63"/>
      <c r="D26" s="63"/>
      <c r="E26" s="63"/>
      <c r="F26" s="63"/>
      <c r="G26" s="63"/>
      <c r="H26" s="63"/>
      <c r="I26" s="63"/>
      <c r="J26" s="63"/>
      <c r="K26" s="63"/>
      <c r="L26" s="63"/>
      <c r="M26" s="63"/>
      <c r="N26" s="63"/>
      <c r="O26" s="63"/>
    </row>
    <row r="27" spans="1:15" ht="16.5" customHeight="1">
      <c r="A27" s="61"/>
      <c r="B27" s="63"/>
      <c r="C27" s="63"/>
      <c r="D27" s="63"/>
      <c r="E27" s="63"/>
      <c r="F27" s="63"/>
      <c r="G27" s="63"/>
      <c r="H27" s="63"/>
      <c r="I27" s="63"/>
      <c r="J27" s="63"/>
      <c r="K27" s="63"/>
      <c r="L27" s="63"/>
      <c r="M27" s="63"/>
      <c r="N27" s="63"/>
      <c r="O27" s="63"/>
    </row>
    <row r="28" spans="1:15" ht="16.5" customHeight="1">
      <c r="A28" s="61"/>
      <c r="B28" s="63"/>
      <c r="C28" s="63"/>
      <c r="D28" s="63"/>
      <c r="E28" s="63"/>
      <c r="F28" s="63"/>
      <c r="G28" s="63"/>
      <c r="H28" s="63"/>
      <c r="I28" s="63"/>
      <c r="J28" s="63"/>
      <c r="K28" s="63"/>
      <c r="L28" s="63"/>
      <c r="M28" s="63"/>
      <c r="N28" s="63"/>
      <c r="O28" s="63"/>
    </row>
    <row r="29" spans="1:15" ht="16.5" customHeight="1">
      <c r="A29" s="61"/>
      <c r="B29" s="63"/>
      <c r="C29" s="63"/>
      <c r="D29" s="63"/>
      <c r="E29" s="63"/>
      <c r="F29" s="63"/>
      <c r="G29" s="63"/>
      <c r="H29" s="63"/>
      <c r="I29" s="63"/>
      <c r="J29" s="63"/>
      <c r="K29" s="63"/>
      <c r="L29" s="63"/>
      <c r="M29" s="63"/>
      <c r="N29" s="63"/>
      <c r="O29" s="63"/>
    </row>
  </sheetData>
  <sheetProtection sheet="1" objects="1" scenarios="1"/>
  <mergeCells count="22">
    <mergeCell ref="A17:B17"/>
    <mergeCell ref="C17:D17"/>
    <mergeCell ref="A18:B18"/>
    <mergeCell ref="C18:G18"/>
    <mergeCell ref="A19:A29"/>
    <mergeCell ref="B19:O29"/>
    <mergeCell ref="C9:D9"/>
    <mergeCell ref="A10:A12"/>
    <mergeCell ref="H10:L16"/>
    <mergeCell ref="M10:O16"/>
    <mergeCell ref="A13:A16"/>
    <mergeCell ref="C16:D16"/>
    <mergeCell ref="H1:L1"/>
    <mergeCell ref="M1:O1"/>
    <mergeCell ref="A3:B3"/>
    <mergeCell ref="D3:E5"/>
    <mergeCell ref="F3:G5"/>
    <mergeCell ref="H3:L8"/>
    <mergeCell ref="M3:O8"/>
    <mergeCell ref="A4:B4"/>
    <mergeCell ref="A5:B5"/>
    <mergeCell ref="A6:A9"/>
  </mergeCells>
  <printOptions horizontalCentered="1"/>
  <pageMargins left="0.3937007874015748" right="0.3937007874015748" top="0.984251968503937" bottom="0.984251968503937" header="0.5118110236220472" footer="0.5118110236220472"/>
  <pageSetup fitToHeight="0" fitToWidth="1" horizontalDpi="300" verticalDpi="300" orientation="landscape" paperSize="9" scale="93" r:id="rId3"/>
  <headerFooter alignWithMargins="0">
    <oddHeader>&amp;C&amp;"Arial,Gras"&amp;12Retraite et Prévoyance - Réintégration des excédents</oddHead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O29"/>
  <sheetViews>
    <sheetView zoomScalePageLayoutView="0" workbookViewId="0" topLeftCell="A1">
      <selection activeCell="A1" sqref="A1"/>
    </sheetView>
  </sheetViews>
  <sheetFormatPr defaultColWidth="11.421875" defaultRowHeight="12.75"/>
  <cols>
    <col min="1" max="1" width="23.140625" style="35" customWidth="1"/>
    <col min="2" max="2" width="6.140625" style="36" customWidth="1"/>
    <col min="3" max="3" width="11.00390625" style="35" customWidth="1"/>
    <col min="4" max="4" width="6.8515625" style="35" customWidth="1"/>
    <col min="5" max="5" width="9.421875" style="35" customWidth="1"/>
    <col min="6" max="6" width="7.140625" style="35" customWidth="1"/>
    <col min="7" max="7" width="9.421875" style="35" customWidth="1"/>
    <col min="8" max="8" width="9.8515625" style="35" customWidth="1"/>
    <col min="9" max="10" width="9.7109375" style="35" customWidth="1"/>
    <col min="11" max="12" width="10.28125" style="35" customWidth="1"/>
    <col min="13" max="13" width="9.8515625" style="35" customWidth="1"/>
    <col min="14" max="15" width="9.7109375" style="35" customWidth="1"/>
    <col min="16" max="16384" width="11.421875" style="35" customWidth="1"/>
  </cols>
  <sheetData>
    <row r="1" spans="1:15" s="7" customFormat="1" ht="21" customHeight="1">
      <c r="A1" s="3"/>
      <c r="B1" s="4"/>
      <c r="C1" s="5" t="s">
        <v>19</v>
      </c>
      <c r="D1" s="5"/>
      <c r="E1" s="5"/>
      <c r="F1" s="5"/>
      <c r="G1" s="6"/>
      <c r="H1" s="69" t="s">
        <v>15</v>
      </c>
      <c r="I1" s="70"/>
      <c r="J1" s="70"/>
      <c r="K1" s="70"/>
      <c r="L1" s="71"/>
      <c r="M1" s="72" t="s">
        <v>20</v>
      </c>
      <c r="N1" s="73"/>
      <c r="O1" s="74"/>
    </row>
    <row r="2" spans="1:15" s="18" customFormat="1" ht="23.25" customHeight="1">
      <c r="A2" s="8" t="s">
        <v>21</v>
      </c>
      <c r="B2" s="9"/>
      <c r="C2" s="9" t="s">
        <v>3</v>
      </c>
      <c r="D2" s="10" t="s">
        <v>0</v>
      </c>
      <c r="E2" s="9" t="s">
        <v>9</v>
      </c>
      <c r="F2" s="10" t="s">
        <v>1</v>
      </c>
      <c r="G2" s="11" t="s">
        <v>10</v>
      </c>
      <c r="H2" s="12" t="s">
        <v>13</v>
      </c>
      <c r="I2" s="13" t="s">
        <v>12</v>
      </c>
      <c r="J2" s="13" t="s">
        <v>14</v>
      </c>
      <c r="K2" s="13" t="s">
        <v>17</v>
      </c>
      <c r="L2" s="14" t="s">
        <v>16</v>
      </c>
      <c r="M2" s="15" t="s">
        <v>18</v>
      </c>
      <c r="N2" s="16" t="s">
        <v>31</v>
      </c>
      <c r="O2" s="17" t="s">
        <v>14</v>
      </c>
    </row>
    <row r="3" spans="1:15" s="7" customFormat="1" ht="18" customHeight="1">
      <c r="A3" s="75" t="s">
        <v>2</v>
      </c>
      <c r="B3" s="76"/>
      <c r="C3" s="1">
        <v>150000</v>
      </c>
      <c r="D3" s="77"/>
      <c r="E3" s="78"/>
      <c r="F3" s="81"/>
      <c r="G3" s="82"/>
      <c r="H3" s="85"/>
      <c r="I3" s="86"/>
      <c r="J3" s="86"/>
      <c r="K3" s="86"/>
      <c r="L3" s="87"/>
      <c r="M3" s="85"/>
      <c r="N3" s="86"/>
      <c r="O3" s="87"/>
    </row>
    <row r="4" spans="1:15" s="7" customFormat="1" ht="18" customHeight="1">
      <c r="A4" s="64" t="s">
        <v>28</v>
      </c>
      <c r="B4" s="88"/>
      <c r="C4" s="2"/>
      <c r="D4" s="79"/>
      <c r="E4" s="80"/>
      <c r="F4" s="83"/>
      <c r="G4" s="84"/>
      <c r="H4" s="85"/>
      <c r="I4" s="86"/>
      <c r="J4" s="86"/>
      <c r="K4" s="86"/>
      <c r="L4" s="87"/>
      <c r="M4" s="85"/>
      <c r="N4" s="86"/>
      <c r="O4" s="87"/>
    </row>
    <row r="5" spans="1:15" s="7" customFormat="1" ht="18" customHeight="1">
      <c r="A5" s="64" t="s">
        <v>37</v>
      </c>
      <c r="B5" s="88"/>
      <c r="C5" s="2">
        <v>39228</v>
      </c>
      <c r="D5" s="79"/>
      <c r="E5" s="80"/>
      <c r="F5" s="83"/>
      <c r="G5" s="84"/>
      <c r="H5" s="85"/>
      <c r="I5" s="86"/>
      <c r="J5" s="86"/>
      <c r="K5" s="86"/>
      <c r="L5" s="87"/>
      <c r="M5" s="85"/>
      <c r="N5" s="86"/>
      <c r="O5" s="87"/>
    </row>
    <row r="6" spans="1:15" s="7" customFormat="1" ht="15" customHeight="1">
      <c r="A6" s="64" t="s">
        <v>4</v>
      </c>
      <c r="B6" s="19" t="s">
        <v>5</v>
      </c>
      <c r="C6" s="20">
        <f>IF(Salaire_brut&gt;Plafond_SS,Plafond_SS,Salaire_brut)</f>
        <v>39228</v>
      </c>
      <c r="D6" s="39"/>
      <c r="E6" s="21">
        <f>ROUND(C6*D6/100,2)</f>
        <v>0</v>
      </c>
      <c r="F6" s="40"/>
      <c r="G6" s="22">
        <f>ROUND(C6*F6/100,2)</f>
        <v>0</v>
      </c>
      <c r="H6" s="85"/>
      <c r="I6" s="86"/>
      <c r="J6" s="86"/>
      <c r="K6" s="86"/>
      <c r="L6" s="87"/>
      <c r="M6" s="85"/>
      <c r="N6" s="86"/>
      <c r="O6" s="87"/>
    </row>
    <row r="7" spans="1:15" s="7" customFormat="1" ht="15" customHeight="1">
      <c r="A7" s="64"/>
      <c r="B7" s="19" t="s">
        <v>6</v>
      </c>
      <c r="C7" s="20">
        <f>IF(Salaire_brut&gt;Plafond_SS,MIN(Salaire_brut-Plafond_SS,Plafond_SS*3),0)</f>
        <v>110772</v>
      </c>
      <c r="D7" s="39">
        <v>4</v>
      </c>
      <c r="E7" s="21">
        <f>ROUND(C7*D7/100,2)</f>
        <v>4430.88</v>
      </c>
      <c r="F7" s="40">
        <v>8</v>
      </c>
      <c r="G7" s="22">
        <f>ROUND(C7*F7/100,2)</f>
        <v>8861.76</v>
      </c>
      <c r="H7" s="85"/>
      <c r="I7" s="86"/>
      <c r="J7" s="86"/>
      <c r="K7" s="86"/>
      <c r="L7" s="87"/>
      <c r="M7" s="85"/>
      <c r="N7" s="86"/>
      <c r="O7" s="87"/>
    </row>
    <row r="8" spans="1:15" s="7" customFormat="1" ht="15" customHeight="1">
      <c r="A8" s="64"/>
      <c r="B8" s="19" t="s">
        <v>7</v>
      </c>
      <c r="C8" s="20">
        <f>IF(Salaire_brut&gt;Plafond_SS*4,Salaire_brut-Plafond_SS*4,0)</f>
        <v>0</v>
      </c>
      <c r="D8" s="39">
        <v>4</v>
      </c>
      <c r="E8" s="21">
        <f>ROUND(C8*D8/100,2)</f>
        <v>0</v>
      </c>
      <c r="F8" s="40">
        <v>8</v>
      </c>
      <c r="G8" s="22">
        <f>ROUND(C8*F8/100,2)</f>
        <v>0</v>
      </c>
      <c r="H8" s="85"/>
      <c r="I8" s="86"/>
      <c r="J8" s="86"/>
      <c r="K8" s="86"/>
      <c r="L8" s="87"/>
      <c r="M8" s="85"/>
      <c r="N8" s="86"/>
      <c r="O8" s="87"/>
    </row>
    <row r="9" spans="1:15" s="33" customFormat="1" ht="15" customHeight="1">
      <c r="A9" s="64"/>
      <c r="B9" s="23" t="s">
        <v>8</v>
      </c>
      <c r="C9" s="53"/>
      <c r="D9" s="54"/>
      <c r="E9" s="24">
        <f>SUM(E6:E8)</f>
        <v>4430.88</v>
      </c>
      <c r="F9" s="25"/>
      <c r="G9" s="26">
        <f>SUM(G6:G8)</f>
        <v>8861.76</v>
      </c>
      <c r="H9" s="27">
        <f>E9+G9</f>
        <v>13292.64</v>
      </c>
      <c r="I9" s="28">
        <f>ROUND(MAX(MIN(8%*Salaire_brut,Plafond_SS*8*8%)-AbondPERCO,0),0)</f>
        <v>12000</v>
      </c>
      <c r="J9" s="29">
        <f>MAX(0,H9-I9)</f>
        <v>1292.6399999999994</v>
      </c>
      <c r="K9" s="30">
        <f>IF(H9=0,0,ROUND(J9*E9/H9,2))</f>
        <v>430.88</v>
      </c>
      <c r="L9" s="31">
        <f>J9-K9</f>
        <v>861.7599999999994</v>
      </c>
      <c r="M9" s="27">
        <f>G9</f>
        <v>8861.76</v>
      </c>
      <c r="N9" s="28">
        <f>ROUND(MAX(MAX((Plafond_SS*5%),MIN(Salaire_brut,Plafond_SS*5)*5%)-AbondPERCO,0),0)</f>
        <v>7500</v>
      </c>
      <c r="O9" s="32">
        <f>MAX(0,M9-N9)</f>
        <v>1361.7600000000002</v>
      </c>
    </row>
    <row r="10" spans="1:15" s="7" customFormat="1" ht="15" customHeight="1">
      <c r="A10" s="64" t="s">
        <v>11</v>
      </c>
      <c r="B10" s="19" t="s">
        <v>5</v>
      </c>
      <c r="C10" s="20">
        <f>IF(Salaire_brut&gt;Plafond_SS,Plafond_SS,Salaire_brut)</f>
        <v>39228</v>
      </c>
      <c r="D10" s="39">
        <v>0.97</v>
      </c>
      <c r="E10" s="21">
        <f aca="true" t="shared" si="0" ref="E10:E15">ROUND(C10*D10/100,2)</f>
        <v>380.51</v>
      </c>
      <c r="F10" s="40">
        <v>1.95</v>
      </c>
      <c r="G10" s="22">
        <f aca="true" t="shared" si="1" ref="G10:G15">ROUND(C10*F10/100,2)</f>
        <v>764.95</v>
      </c>
      <c r="H10" s="65"/>
      <c r="I10" s="54"/>
      <c r="J10" s="54"/>
      <c r="K10" s="54"/>
      <c r="L10" s="66"/>
      <c r="M10" s="65"/>
      <c r="N10" s="54"/>
      <c r="O10" s="66"/>
    </row>
    <row r="11" spans="1:15" s="7" customFormat="1" ht="15" customHeight="1">
      <c r="A11" s="64"/>
      <c r="B11" s="19" t="s">
        <v>6</v>
      </c>
      <c r="C11" s="20">
        <f>IF(Salaire_brut&gt;Plafond_SS,MIN(Salaire_brut-Plafond_SS,Plafond_SS*3),0)</f>
        <v>110772</v>
      </c>
      <c r="D11" s="39">
        <v>2.23</v>
      </c>
      <c r="E11" s="21">
        <f t="shared" si="0"/>
        <v>2470.22</v>
      </c>
      <c r="F11" s="40">
        <v>2.23</v>
      </c>
      <c r="G11" s="22">
        <f t="shared" si="1"/>
        <v>2470.22</v>
      </c>
      <c r="H11" s="65"/>
      <c r="I11" s="54"/>
      <c r="J11" s="54"/>
      <c r="K11" s="54"/>
      <c r="L11" s="66"/>
      <c r="M11" s="65"/>
      <c r="N11" s="54"/>
      <c r="O11" s="66"/>
    </row>
    <row r="12" spans="1:15" s="7" customFormat="1" ht="15" customHeight="1">
      <c r="A12" s="64"/>
      <c r="B12" s="19" t="s">
        <v>7</v>
      </c>
      <c r="C12" s="20">
        <f>IF(Salaire_brut&gt;Plafond_SS*4,Salaire_brut-Plafond_SS*4,0)</f>
        <v>0</v>
      </c>
      <c r="D12" s="39">
        <v>2.23</v>
      </c>
      <c r="E12" s="21">
        <f t="shared" si="0"/>
        <v>0</v>
      </c>
      <c r="F12" s="40">
        <v>2.23</v>
      </c>
      <c r="G12" s="22">
        <f t="shared" si="1"/>
        <v>0</v>
      </c>
      <c r="H12" s="65"/>
      <c r="I12" s="54"/>
      <c r="J12" s="54"/>
      <c r="K12" s="54"/>
      <c r="L12" s="66"/>
      <c r="M12" s="65"/>
      <c r="N12" s="54"/>
      <c r="O12" s="66"/>
    </row>
    <row r="13" spans="1:15" s="7" customFormat="1" ht="15" customHeight="1">
      <c r="A13" s="64" t="s">
        <v>22</v>
      </c>
      <c r="B13" s="19" t="s">
        <v>5</v>
      </c>
      <c r="C13" s="20">
        <f>IF(Salaire_brut&gt;Plafond_SS,Plafond_SS,Salaire_brut)</f>
        <v>39228</v>
      </c>
      <c r="D13" s="39">
        <v>1.207</v>
      </c>
      <c r="E13" s="21">
        <f t="shared" si="0"/>
        <v>473.48</v>
      </c>
      <c r="F13" s="40">
        <v>3.623</v>
      </c>
      <c r="G13" s="49">
        <f t="shared" si="1"/>
        <v>1421.23</v>
      </c>
      <c r="H13" s="65"/>
      <c r="I13" s="54"/>
      <c r="J13" s="54"/>
      <c r="K13" s="54"/>
      <c r="L13" s="66"/>
      <c r="M13" s="65"/>
      <c r="N13" s="54"/>
      <c r="O13" s="66"/>
    </row>
    <row r="14" spans="1:15" s="7" customFormat="1" ht="15" customHeight="1">
      <c r="A14" s="64"/>
      <c r="B14" s="19" t="s">
        <v>6</v>
      </c>
      <c r="C14" s="20">
        <f>IF(Salaire_brut&gt;Plafond_SS,MIN(Salaire_brut-Plafond_SS,Plafond_SS*3),0)</f>
        <v>110772</v>
      </c>
      <c r="D14" s="39"/>
      <c r="E14" s="21">
        <f t="shared" si="0"/>
        <v>0</v>
      </c>
      <c r="F14" s="40"/>
      <c r="G14" s="50">
        <f t="shared" si="1"/>
        <v>0</v>
      </c>
      <c r="H14" s="65"/>
      <c r="I14" s="54"/>
      <c r="J14" s="54"/>
      <c r="K14" s="54"/>
      <c r="L14" s="66"/>
      <c r="M14" s="65"/>
      <c r="N14" s="54"/>
      <c r="O14" s="66"/>
    </row>
    <row r="15" spans="1:15" s="7" customFormat="1" ht="15" customHeight="1">
      <c r="A15" s="64"/>
      <c r="B15" s="19" t="s">
        <v>7</v>
      </c>
      <c r="C15" s="20">
        <f>IF(Salaire_brut&gt;Plafond_SS*4,Salaire_brut-Plafond_SS*4,0)</f>
        <v>0</v>
      </c>
      <c r="D15" s="39"/>
      <c r="E15" s="21">
        <f t="shared" si="0"/>
        <v>0</v>
      </c>
      <c r="F15" s="40"/>
      <c r="G15" s="50">
        <f t="shared" si="1"/>
        <v>0</v>
      </c>
      <c r="H15" s="65"/>
      <c r="I15" s="54"/>
      <c r="J15" s="54"/>
      <c r="K15" s="54"/>
      <c r="L15" s="66"/>
      <c r="M15" s="65"/>
      <c r="N15" s="54"/>
      <c r="O15" s="66"/>
    </row>
    <row r="16" spans="1:15" s="7" customFormat="1" ht="15" customHeight="1">
      <c r="A16" s="64"/>
      <c r="B16" s="19" t="s">
        <v>23</v>
      </c>
      <c r="C16" s="67"/>
      <c r="D16" s="68"/>
      <c r="E16" s="37"/>
      <c r="F16" s="34"/>
      <c r="G16" s="38"/>
      <c r="H16" s="65"/>
      <c r="I16" s="54"/>
      <c r="J16" s="54"/>
      <c r="K16" s="54"/>
      <c r="L16" s="66"/>
      <c r="M16" s="65"/>
      <c r="N16" s="54"/>
      <c r="O16" s="66"/>
    </row>
    <row r="17" spans="1:15" s="33" customFormat="1" ht="18" customHeight="1">
      <c r="A17" s="51" t="s">
        <v>24</v>
      </c>
      <c r="B17" s="52"/>
      <c r="C17" s="53"/>
      <c r="D17" s="54"/>
      <c r="E17" s="24">
        <f>SUM(E10:E16)</f>
        <v>3324.2099999999996</v>
      </c>
      <c r="F17" s="41"/>
      <c r="G17" s="26">
        <f>SUM(G10:G16)</f>
        <v>4656.4</v>
      </c>
      <c r="H17" s="48">
        <f>E17+G17-SUM(G13:G16)</f>
        <v>6559.379999999999</v>
      </c>
      <c r="I17" s="28">
        <f>ROUND(MIN((5%*Plafond_SS)+(2%*(Salaire_brut+SUM(G13:G16))),2%*8*Plafond_SS),0)</f>
        <v>4990</v>
      </c>
      <c r="J17" s="29">
        <f>MAX(0,H17-I17)</f>
        <v>1569.3799999999992</v>
      </c>
      <c r="K17" s="30">
        <f>IF(H17=0,0,ROUND(J17*E17/H17,2))</f>
        <v>795.34</v>
      </c>
      <c r="L17" s="31">
        <f>J17-K17</f>
        <v>774.0399999999992</v>
      </c>
      <c r="M17" s="27">
        <f>G17</f>
        <v>4656.4</v>
      </c>
      <c r="N17" s="28">
        <f>ROUND(MIN((6%*Plafond_SS)+(1.5%*Salaire_brut),12%*Plafond_SS),0)</f>
        <v>4604</v>
      </c>
      <c r="O17" s="32">
        <f>MAX(0,M17-N17)</f>
        <v>52.399999999999636</v>
      </c>
    </row>
    <row r="18" spans="1:15" s="45" customFormat="1" ht="18" customHeight="1" thickBot="1">
      <c r="A18" s="55" t="s">
        <v>26</v>
      </c>
      <c r="B18" s="56"/>
      <c r="C18" s="57"/>
      <c r="D18" s="58"/>
      <c r="E18" s="58"/>
      <c r="F18" s="58"/>
      <c r="G18" s="59"/>
      <c r="H18" s="44"/>
      <c r="I18" s="42"/>
      <c r="J18" s="43"/>
      <c r="K18" s="46">
        <f>K9+K17</f>
        <v>1226.22</v>
      </c>
      <c r="L18" s="46">
        <f>L9+L17</f>
        <v>1635.7999999999986</v>
      </c>
      <c r="M18" s="44"/>
      <c r="N18" s="42"/>
      <c r="O18" s="47">
        <f>O9+O17</f>
        <v>1414.1599999999999</v>
      </c>
    </row>
    <row r="19" spans="1:15" ht="16.5" customHeight="1">
      <c r="A19" s="60" t="s">
        <v>25</v>
      </c>
      <c r="B19" s="62" t="s">
        <v>29</v>
      </c>
      <c r="C19" s="62"/>
      <c r="D19" s="62"/>
      <c r="E19" s="62"/>
      <c r="F19" s="62"/>
      <c r="G19" s="62"/>
      <c r="H19" s="62"/>
      <c r="I19" s="62"/>
      <c r="J19" s="62"/>
      <c r="K19" s="62"/>
      <c r="L19" s="62"/>
      <c r="M19" s="62"/>
      <c r="N19" s="62"/>
      <c r="O19" s="62"/>
    </row>
    <row r="20" spans="1:15" ht="16.5" customHeight="1">
      <c r="A20" s="61"/>
      <c r="B20" s="63"/>
      <c r="C20" s="63"/>
      <c r="D20" s="63"/>
      <c r="E20" s="63"/>
      <c r="F20" s="63"/>
      <c r="G20" s="63"/>
      <c r="H20" s="63"/>
      <c r="I20" s="63"/>
      <c r="J20" s="63"/>
      <c r="K20" s="63"/>
      <c r="L20" s="63"/>
      <c r="M20" s="63"/>
      <c r="N20" s="63"/>
      <c r="O20" s="63"/>
    </row>
    <row r="21" spans="1:15" ht="16.5" customHeight="1">
      <c r="A21" s="61"/>
      <c r="B21" s="63"/>
      <c r="C21" s="63"/>
      <c r="D21" s="63"/>
      <c r="E21" s="63"/>
      <c r="F21" s="63"/>
      <c r="G21" s="63"/>
      <c r="H21" s="63"/>
      <c r="I21" s="63"/>
      <c r="J21" s="63"/>
      <c r="K21" s="63"/>
      <c r="L21" s="63"/>
      <c r="M21" s="63"/>
      <c r="N21" s="63"/>
      <c r="O21" s="63"/>
    </row>
    <row r="22" spans="1:15" ht="16.5" customHeight="1">
      <c r="A22" s="61"/>
      <c r="B22" s="63"/>
      <c r="C22" s="63"/>
      <c r="D22" s="63"/>
      <c r="E22" s="63"/>
      <c r="F22" s="63"/>
      <c r="G22" s="63"/>
      <c r="H22" s="63"/>
      <c r="I22" s="63"/>
      <c r="J22" s="63"/>
      <c r="K22" s="63"/>
      <c r="L22" s="63"/>
      <c r="M22" s="63"/>
      <c r="N22" s="63"/>
      <c r="O22" s="63"/>
    </row>
    <row r="23" spans="1:15" ht="16.5" customHeight="1">
      <c r="A23" s="61"/>
      <c r="B23" s="63"/>
      <c r="C23" s="63"/>
      <c r="D23" s="63"/>
      <c r="E23" s="63"/>
      <c r="F23" s="63"/>
      <c r="G23" s="63"/>
      <c r="H23" s="63"/>
      <c r="I23" s="63"/>
      <c r="J23" s="63"/>
      <c r="K23" s="63"/>
      <c r="L23" s="63"/>
      <c r="M23" s="63"/>
      <c r="N23" s="63"/>
      <c r="O23" s="63"/>
    </row>
    <row r="24" spans="1:15" ht="16.5" customHeight="1">
      <c r="A24" s="61"/>
      <c r="B24" s="63"/>
      <c r="C24" s="63"/>
      <c r="D24" s="63"/>
      <c r="E24" s="63"/>
      <c r="F24" s="63"/>
      <c r="G24" s="63"/>
      <c r="H24" s="63"/>
      <c r="I24" s="63"/>
      <c r="J24" s="63"/>
      <c r="K24" s="63"/>
      <c r="L24" s="63"/>
      <c r="M24" s="63"/>
      <c r="N24" s="63"/>
      <c r="O24" s="63"/>
    </row>
    <row r="25" spans="1:15" ht="16.5" customHeight="1">
      <c r="A25" s="61"/>
      <c r="B25" s="63"/>
      <c r="C25" s="63"/>
      <c r="D25" s="63"/>
      <c r="E25" s="63"/>
      <c r="F25" s="63"/>
      <c r="G25" s="63"/>
      <c r="H25" s="63"/>
      <c r="I25" s="63"/>
      <c r="J25" s="63"/>
      <c r="K25" s="63"/>
      <c r="L25" s="63"/>
      <c r="M25" s="63"/>
      <c r="N25" s="63"/>
      <c r="O25" s="63"/>
    </row>
    <row r="26" spans="1:15" ht="16.5" customHeight="1">
      <c r="A26" s="61"/>
      <c r="B26" s="63"/>
      <c r="C26" s="63"/>
      <c r="D26" s="63"/>
      <c r="E26" s="63"/>
      <c r="F26" s="63"/>
      <c r="G26" s="63"/>
      <c r="H26" s="63"/>
      <c r="I26" s="63"/>
      <c r="J26" s="63"/>
      <c r="K26" s="63"/>
      <c r="L26" s="63"/>
      <c r="M26" s="63"/>
      <c r="N26" s="63"/>
      <c r="O26" s="63"/>
    </row>
    <row r="27" spans="1:15" ht="16.5" customHeight="1">
      <c r="A27" s="61"/>
      <c r="B27" s="63"/>
      <c r="C27" s="63"/>
      <c r="D27" s="63"/>
      <c r="E27" s="63"/>
      <c r="F27" s="63"/>
      <c r="G27" s="63"/>
      <c r="H27" s="63"/>
      <c r="I27" s="63"/>
      <c r="J27" s="63"/>
      <c r="K27" s="63"/>
      <c r="L27" s="63"/>
      <c r="M27" s="63"/>
      <c r="N27" s="63"/>
      <c r="O27" s="63"/>
    </row>
    <row r="28" spans="1:15" ht="16.5" customHeight="1">
      <c r="A28" s="61"/>
      <c r="B28" s="63"/>
      <c r="C28" s="63"/>
      <c r="D28" s="63"/>
      <c r="E28" s="63"/>
      <c r="F28" s="63"/>
      <c r="G28" s="63"/>
      <c r="H28" s="63"/>
      <c r="I28" s="63"/>
      <c r="J28" s="63"/>
      <c r="K28" s="63"/>
      <c r="L28" s="63"/>
      <c r="M28" s="63"/>
      <c r="N28" s="63"/>
      <c r="O28" s="63"/>
    </row>
    <row r="29" spans="1:15" ht="16.5" customHeight="1">
      <c r="A29" s="61"/>
      <c r="B29" s="63"/>
      <c r="C29" s="63"/>
      <c r="D29" s="63"/>
      <c r="E29" s="63"/>
      <c r="F29" s="63"/>
      <c r="G29" s="63"/>
      <c r="H29" s="63"/>
      <c r="I29" s="63"/>
      <c r="J29" s="63"/>
      <c r="K29" s="63"/>
      <c r="L29" s="63"/>
      <c r="M29" s="63"/>
      <c r="N29" s="63"/>
      <c r="O29" s="63"/>
    </row>
  </sheetData>
  <sheetProtection sheet="1" objects="1" scenarios="1"/>
  <mergeCells count="22">
    <mergeCell ref="H1:L1"/>
    <mergeCell ref="M1:O1"/>
    <mergeCell ref="A3:B3"/>
    <mergeCell ref="D3:E5"/>
    <mergeCell ref="F3:G5"/>
    <mergeCell ref="H3:L8"/>
    <mergeCell ref="M3:O8"/>
    <mergeCell ref="A4:B4"/>
    <mergeCell ref="A5:B5"/>
    <mergeCell ref="A6:A9"/>
    <mergeCell ref="C9:D9"/>
    <mergeCell ref="A10:A12"/>
    <mergeCell ref="H10:L16"/>
    <mergeCell ref="M10:O16"/>
    <mergeCell ref="A13:A16"/>
    <mergeCell ref="C16:D16"/>
    <mergeCell ref="A17:B17"/>
    <mergeCell ref="C17:D17"/>
    <mergeCell ref="A18:B18"/>
    <mergeCell ref="C18:G18"/>
    <mergeCell ref="A19:A29"/>
    <mergeCell ref="B19:O29"/>
  </mergeCells>
  <printOptions horizontalCentered="1"/>
  <pageMargins left="0.3937007874015748" right="0.3937007874015748" top="0.984251968503937" bottom="0.984251968503937" header="0.5118110236220472" footer="0.5118110236220472"/>
  <pageSetup fitToHeight="0" fitToWidth="1" horizontalDpi="300" verticalDpi="300" orientation="landscape" paperSize="9" scale="93" r:id="rId3"/>
  <headerFooter alignWithMargins="0">
    <oddHeader>&amp;C&amp;"Arial,Gras"&amp;12Retraite et Prévoyance - Réintégration des excédents</oddHead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O29"/>
  <sheetViews>
    <sheetView zoomScalePageLayoutView="0" workbookViewId="0" topLeftCell="A1">
      <selection activeCell="A1" sqref="A1"/>
    </sheetView>
  </sheetViews>
  <sheetFormatPr defaultColWidth="11.421875" defaultRowHeight="12.75"/>
  <cols>
    <col min="1" max="1" width="23.140625" style="35" customWidth="1"/>
    <col min="2" max="2" width="6.140625" style="36" customWidth="1"/>
    <col min="3" max="3" width="11.00390625" style="35" customWidth="1"/>
    <col min="4" max="4" width="6.8515625" style="35" customWidth="1"/>
    <col min="5" max="5" width="9.421875" style="35" customWidth="1"/>
    <col min="6" max="6" width="7.140625" style="35" customWidth="1"/>
    <col min="7" max="7" width="9.421875" style="35" customWidth="1"/>
    <col min="8" max="8" width="9.8515625" style="35" customWidth="1"/>
    <col min="9" max="10" width="9.7109375" style="35" customWidth="1"/>
    <col min="11" max="16384" width="11.421875" style="35" customWidth="1"/>
  </cols>
  <sheetData>
    <row r="1" spans="1:15" s="7" customFormat="1" ht="21" customHeight="1">
      <c r="A1" s="3"/>
      <c r="B1" s="4"/>
      <c r="C1" s="5" t="s">
        <v>19</v>
      </c>
      <c r="D1" s="5"/>
      <c r="E1" s="5"/>
      <c r="F1" s="5"/>
      <c r="G1" s="6"/>
      <c r="H1" s="69" t="s">
        <v>15</v>
      </c>
      <c r="I1" s="70"/>
      <c r="J1" s="70"/>
      <c r="K1" s="70"/>
      <c r="L1" s="71"/>
      <c r="M1" s="72" t="s">
        <v>20</v>
      </c>
      <c r="N1" s="73"/>
      <c r="O1" s="74"/>
    </row>
    <row r="2" spans="1:15" s="18" customFormat="1" ht="23.25" customHeight="1">
      <c r="A2" s="8" t="s">
        <v>21</v>
      </c>
      <c r="B2" s="9"/>
      <c r="C2" s="9" t="s">
        <v>3</v>
      </c>
      <c r="D2" s="10" t="s">
        <v>0</v>
      </c>
      <c r="E2" s="9" t="s">
        <v>9</v>
      </c>
      <c r="F2" s="10" t="s">
        <v>1</v>
      </c>
      <c r="G2" s="11" t="s">
        <v>10</v>
      </c>
      <c r="H2" s="12" t="s">
        <v>13</v>
      </c>
      <c r="I2" s="13" t="s">
        <v>12</v>
      </c>
      <c r="J2" s="13" t="s">
        <v>14</v>
      </c>
      <c r="K2" s="13" t="s">
        <v>17</v>
      </c>
      <c r="L2" s="14" t="s">
        <v>16</v>
      </c>
      <c r="M2" s="15" t="s">
        <v>18</v>
      </c>
      <c r="N2" s="16" t="s">
        <v>31</v>
      </c>
      <c r="O2" s="17" t="s">
        <v>14</v>
      </c>
    </row>
    <row r="3" spans="1:15" s="7" customFormat="1" ht="18" customHeight="1">
      <c r="A3" s="75" t="s">
        <v>38</v>
      </c>
      <c r="B3" s="76"/>
      <c r="C3" s="1">
        <v>162500</v>
      </c>
      <c r="D3" s="77"/>
      <c r="E3" s="78"/>
      <c r="F3" s="81"/>
      <c r="G3" s="82"/>
      <c r="H3" s="85"/>
      <c r="I3" s="86"/>
      <c r="J3" s="86"/>
      <c r="K3" s="86"/>
      <c r="L3" s="87"/>
      <c r="M3" s="85"/>
      <c r="N3" s="86"/>
      <c r="O3" s="87"/>
    </row>
    <row r="4" spans="1:15" s="7" customFormat="1" ht="18" customHeight="1">
      <c r="A4" s="64" t="s">
        <v>28</v>
      </c>
      <c r="B4" s="88"/>
      <c r="C4" s="2"/>
      <c r="D4" s="79"/>
      <c r="E4" s="80"/>
      <c r="F4" s="83"/>
      <c r="G4" s="84"/>
      <c r="H4" s="85"/>
      <c r="I4" s="86"/>
      <c r="J4" s="86"/>
      <c r="K4" s="86"/>
      <c r="L4" s="87"/>
      <c r="M4" s="85"/>
      <c r="N4" s="86"/>
      <c r="O4" s="87"/>
    </row>
    <row r="5" spans="1:15" s="7" customFormat="1" ht="18" customHeight="1">
      <c r="A5" s="64" t="s">
        <v>39</v>
      </c>
      <c r="B5" s="88"/>
      <c r="C5" s="2">
        <v>42497</v>
      </c>
      <c r="D5" s="79"/>
      <c r="E5" s="80"/>
      <c r="F5" s="83"/>
      <c r="G5" s="84"/>
      <c r="H5" s="85"/>
      <c r="I5" s="86"/>
      <c r="J5" s="86"/>
      <c r="K5" s="86"/>
      <c r="L5" s="87"/>
      <c r="M5" s="85"/>
      <c r="N5" s="86"/>
      <c r="O5" s="87"/>
    </row>
    <row r="6" spans="1:15" s="7" customFormat="1" ht="15" customHeight="1">
      <c r="A6" s="64" t="s">
        <v>4</v>
      </c>
      <c r="B6" s="19" t="s">
        <v>5</v>
      </c>
      <c r="C6" s="20">
        <f>IF(Salaire_brut&gt;Plafond_SS,Plafond_SS,Salaire_brut)</f>
        <v>42497</v>
      </c>
      <c r="D6" s="39"/>
      <c r="E6" s="21">
        <f>ROUND(C6*D6/100,2)</f>
        <v>0</v>
      </c>
      <c r="F6" s="40"/>
      <c r="G6" s="22">
        <f>ROUND(C6*F6/100,2)</f>
        <v>0</v>
      </c>
      <c r="H6" s="85"/>
      <c r="I6" s="86"/>
      <c r="J6" s="86"/>
      <c r="K6" s="86"/>
      <c r="L6" s="87"/>
      <c r="M6" s="85"/>
      <c r="N6" s="86"/>
      <c r="O6" s="87"/>
    </row>
    <row r="7" spans="1:15" s="7" customFormat="1" ht="15" customHeight="1">
      <c r="A7" s="64"/>
      <c r="B7" s="19" t="s">
        <v>6</v>
      </c>
      <c r="C7" s="20">
        <f>IF(Salaire_brut&gt;Plafond_SS,MIN(Salaire_brut-Plafond_SS,Plafond_SS*3),0)</f>
        <v>120003</v>
      </c>
      <c r="D7" s="39">
        <v>4</v>
      </c>
      <c r="E7" s="21">
        <f>ROUND(C7*D7/100,2)</f>
        <v>4800.12</v>
      </c>
      <c r="F7" s="40">
        <v>8</v>
      </c>
      <c r="G7" s="22">
        <f>ROUND(C7*F7/100,2)</f>
        <v>9600.24</v>
      </c>
      <c r="H7" s="85"/>
      <c r="I7" s="86"/>
      <c r="J7" s="86"/>
      <c r="K7" s="86"/>
      <c r="L7" s="87"/>
      <c r="M7" s="85"/>
      <c r="N7" s="86"/>
      <c r="O7" s="87"/>
    </row>
    <row r="8" spans="1:15" s="7" customFormat="1" ht="15" customHeight="1">
      <c r="A8" s="64"/>
      <c r="B8" s="19" t="s">
        <v>7</v>
      </c>
      <c r="C8" s="20">
        <f>IF(Salaire_brut&gt;Plafond_SS*4,Salaire_brut-Plafond_SS*4,0)</f>
        <v>0</v>
      </c>
      <c r="D8" s="39">
        <v>4</v>
      </c>
      <c r="E8" s="21">
        <f>ROUND(C8*D8/100,2)</f>
        <v>0</v>
      </c>
      <c r="F8" s="40">
        <v>8</v>
      </c>
      <c r="G8" s="22">
        <f>ROUND(C8*F8/100,2)</f>
        <v>0</v>
      </c>
      <c r="H8" s="85"/>
      <c r="I8" s="86"/>
      <c r="J8" s="86"/>
      <c r="K8" s="86"/>
      <c r="L8" s="87"/>
      <c r="M8" s="85"/>
      <c r="N8" s="86"/>
      <c r="O8" s="87"/>
    </row>
    <row r="9" spans="1:15" s="33" customFormat="1" ht="15" customHeight="1">
      <c r="A9" s="64"/>
      <c r="B9" s="23" t="s">
        <v>8</v>
      </c>
      <c r="C9" s="53"/>
      <c r="D9" s="54"/>
      <c r="E9" s="24">
        <f>SUM(E6:E8)</f>
        <v>4800.12</v>
      </c>
      <c r="F9" s="25"/>
      <c r="G9" s="26">
        <f>SUM(G6:G8)</f>
        <v>9600.24</v>
      </c>
      <c r="H9" s="27">
        <f>E9+G9</f>
        <v>14400.36</v>
      </c>
      <c r="I9" s="28">
        <f>ROUND(MAX(MIN(8%*Salaire_brut,Plafond_SS*8*8%)-AbondPERCO,0),0)</f>
        <v>13000</v>
      </c>
      <c r="J9" s="29">
        <f>MAX(0,H9-I9)</f>
        <v>1400.3600000000006</v>
      </c>
      <c r="K9" s="30">
        <f>IF(H9=0,0,ROUND(J9*E9/H9,2))</f>
        <v>466.79</v>
      </c>
      <c r="L9" s="31">
        <f>J9-K9</f>
        <v>933.5700000000006</v>
      </c>
      <c r="M9" s="27">
        <f>G9</f>
        <v>9600.24</v>
      </c>
      <c r="N9" s="28">
        <f>ROUND(MAX(MAX((Plafond_SS*5%),MIN(Salaire_brut,Plafond_SS*5)*5%)-AbondPERCO,0),0)</f>
        <v>8125</v>
      </c>
      <c r="O9" s="32">
        <f>MAX(0,M9-N9)</f>
        <v>1475.2399999999998</v>
      </c>
    </row>
    <row r="10" spans="1:15" s="7" customFormat="1" ht="15" customHeight="1">
      <c r="A10" s="64" t="s">
        <v>11</v>
      </c>
      <c r="B10" s="19" t="s">
        <v>5</v>
      </c>
      <c r="C10" s="20">
        <f>IF(Salaire_brut&gt;Plafond_SS,Plafond_SS,Salaire_brut)</f>
        <v>42497</v>
      </c>
      <c r="D10" s="39">
        <v>0.97</v>
      </c>
      <c r="E10" s="21">
        <f aca="true" t="shared" si="0" ref="E10:E15">ROUND(C10*D10/100,2)</f>
        <v>412.22</v>
      </c>
      <c r="F10" s="40">
        <v>1.95</v>
      </c>
      <c r="G10" s="22">
        <f aca="true" t="shared" si="1" ref="G10:G15">ROUND(C10*F10/100,2)</f>
        <v>828.69</v>
      </c>
      <c r="H10" s="65"/>
      <c r="I10" s="54"/>
      <c r="J10" s="54"/>
      <c r="K10" s="54"/>
      <c r="L10" s="66"/>
      <c r="M10" s="65"/>
      <c r="N10" s="54"/>
      <c r="O10" s="66"/>
    </row>
    <row r="11" spans="1:15" s="7" customFormat="1" ht="15" customHeight="1">
      <c r="A11" s="64"/>
      <c r="B11" s="19" t="s">
        <v>6</v>
      </c>
      <c r="C11" s="20">
        <f>IF(Salaire_brut&gt;Plafond_SS,MIN(Salaire_brut-Plafond_SS,Plafond_SS*3),0)</f>
        <v>120003</v>
      </c>
      <c r="D11" s="39">
        <v>2.23</v>
      </c>
      <c r="E11" s="21">
        <f t="shared" si="0"/>
        <v>2676.07</v>
      </c>
      <c r="F11" s="40">
        <v>2.23</v>
      </c>
      <c r="G11" s="22">
        <f t="shared" si="1"/>
        <v>2676.07</v>
      </c>
      <c r="H11" s="65"/>
      <c r="I11" s="54"/>
      <c r="J11" s="54"/>
      <c r="K11" s="54"/>
      <c r="L11" s="66"/>
      <c r="M11" s="65"/>
      <c r="N11" s="54"/>
      <c r="O11" s="66"/>
    </row>
    <row r="12" spans="1:15" s="7" customFormat="1" ht="15" customHeight="1">
      <c r="A12" s="64"/>
      <c r="B12" s="19" t="s">
        <v>7</v>
      </c>
      <c r="C12" s="20">
        <f>IF(Salaire_brut&gt;Plafond_SS*4,Salaire_brut-Plafond_SS*4,0)</f>
        <v>0</v>
      </c>
      <c r="D12" s="39">
        <v>2.23</v>
      </c>
      <c r="E12" s="21">
        <f t="shared" si="0"/>
        <v>0</v>
      </c>
      <c r="F12" s="40">
        <v>2.23</v>
      </c>
      <c r="G12" s="22">
        <f t="shared" si="1"/>
        <v>0</v>
      </c>
      <c r="H12" s="65"/>
      <c r="I12" s="54"/>
      <c r="J12" s="54"/>
      <c r="K12" s="54"/>
      <c r="L12" s="66"/>
      <c r="M12" s="65"/>
      <c r="N12" s="54"/>
      <c r="O12" s="66"/>
    </row>
    <row r="13" spans="1:15" s="7" customFormat="1" ht="15" customHeight="1">
      <c r="A13" s="64" t="s">
        <v>22</v>
      </c>
      <c r="B13" s="19" t="s">
        <v>5</v>
      </c>
      <c r="C13" s="20">
        <f>IF(Salaire_brut&gt;Plafond_SS,Plafond_SS,Salaire_brut)</f>
        <v>42497</v>
      </c>
      <c r="D13" s="39">
        <v>1.207</v>
      </c>
      <c r="E13" s="21">
        <f t="shared" si="0"/>
        <v>512.94</v>
      </c>
      <c r="F13" s="40">
        <v>3.623</v>
      </c>
      <c r="G13" s="49">
        <f t="shared" si="1"/>
        <v>1539.67</v>
      </c>
      <c r="H13" s="65"/>
      <c r="I13" s="54"/>
      <c r="J13" s="54"/>
      <c r="K13" s="54"/>
      <c r="L13" s="66"/>
      <c r="M13" s="65"/>
      <c r="N13" s="54"/>
      <c r="O13" s="66"/>
    </row>
    <row r="14" spans="1:15" s="7" customFormat="1" ht="15" customHeight="1">
      <c r="A14" s="64"/>
      <c r="B14" s="19" t="s">
        <v>6</v>
      </c>
      <c r="C14" s="20">
        <f>IF(Salaire_brut&gt;Plafond_SS,MIN(Salaire_brut-Plafond_SS,Plafond_SS*3),0)</f>
        <v>120003</v>
      </c>
      <c r="D14" s="39"/>
      <c r="E14" s="21">
        <f t="shared" si="0"/>
        <v>0</v>
      </c>
      <c r="F14" s="40"/>
      <c r="G14" s="50">
        <f t="shared" si="1"/>
        <v>0</v>
      </c>
      <c r="H14" s="65"/>
      <c r="I14" s="54"/>
      <c r="J14" s="54"/>
      <c r="K14" s="54"/>
      <c r="L14" s="66"/>
      <c r="M14" s="65"/>
      <c r="N14" s="54"/>
      <c r="O14" s="66"/>
    </row>
    <row r="15" spans="1:15" s="7" customFormat="1" ht="15" customHeight="1">
      <c r="A15" s="64"/>
      <c r="B15" s="19" t="s">
        <v>7</v>
      </c>
      <c r="C15" s="20">
        <f>IF(Salaire_brut&gt;Plafond_SS*4,Salaire_brut-Plafond_SS*4,0)</f>
        <v>0</v>
      </c>
      <c r="D15" s="39"/>
      <c r="E15" s="21">
        <f t="shared" si="0"/>
        <v>0</v>
      </c>
      <c r="F15" s="40"/>
      <c r="G15" s="50">
        <f t="shared" si="1"/>
        <v>0</v>
      </c>
      <c r="H15" s="65"/>
      <c r="I15" s="54"/>
      <c r="J15" s="54"/>
      <c r="K15" s="54"/>
      <c r="L15" s="66"/>
      <c r="M15" s="65"/>
      <c r="N15" s="54"/>
      <c r="O15" s="66"/>
    </row>
    <row r="16" spans="1:15" s="7" customFormat="1" ht="15" customHeight="1">
      <c r="A16" s="64"/>
      <c r="B16" s="19" t="s">
        <v>23</v>
      </c>
      <c r="C16" s="67"/>
      <c r="D16" s="68"/>
      <c r="E16" s="37"/>
      <c r="F16" s="34"/>
      <c r="G16" s="38"/>
      <c r="H16" s="65"/>
      <c r="I16" s="54"/>
      <c r="J16" s="54"/>
      <c r="K16" s="54"/>
      <c r="L16" s="66"/>
      <c r="M16" s="65"/>
      <c r="N16" s="54"/>
      <c r="O16" s="66"/>
    </row>
    <row r="17" spans="1:15" s="33" customFormat="1" ht="18" customHeight="1">
      <c r="A17" s="51" t="s">
        <v>24</v>
      </c>
      <c r="B17" s="52"/>
      <c r="C17" s="53"/>
      <c r="D17" s="54"/>
      <c r="E17" s="24">
        <f>SUM(E10:E16)</f>
        <v>3601.23</v>
      </c>
      <c r="F17" s="41"/>
      <c r="G17" s="26">
        <f>SUM(G10:G16)</f>
        <v>5044.43</v>
      </c>
      <c r="H17" s="48">
        <f>E17+G17-SUM(G13:G16)</f>
        <v>7105.99</v>
      </c>
      <c r="I17" s="28">
        <f>ROUND(MIN((5%*Plafond_SS)+(2%*(Salaire_brut+SUM(G13:G16))),2%*8*Plafond_SS),0)</f>
        <v>5406</v>
      </c>
      <c r="J17" s="29">
        <f>MAX(0,H17-I17)</f>
        <v>1699.9899999999998</v>
      </c>
      <c r="K17" s="30">
        <f>IF(H17=0,0,ROUND(J17*E17/H17,2))</f>
        <v>861.53</v>
      </c>
      <c r="L17" s="31">
        <f>J17-K17</f>
        <v>838.4599999999998</v>
      </c>
      <c r="M17" s="27">
        <f>G17</f>
        <v>5044.43</v>
      </c>
      <c r="N17" s="28">
        <f>ROUND(MIN((6%*Plafond_SS)+(1.5%*Salaire_brut),12%*Plafond_SS),0)</f>
        <v>4987</v>
      </c>
      <c r="O17" s="32">
        <f>MAX(0,M17-N17)</f>
        <v>57.43000000000029</v>
      </c>
    </row>
    <row r="18" spans="1:15" s="45" customFormat="1" ht="18" customHeight="1" thickBot="1">
      <c r="A18" s="55" t="s">
        <v>26</v>
      </c>
      <c r="B18" s="56"/>
      <c r="C18" s="57"/>
      <c r="D18" s="58"/>
      <c r="E18" s="58"/>
      <c r="F18" s="58"/>
      <c r="G18" s="59"/>
      <c r="H18" s="44"/>
      <c r="I18" s="42"/>
      <c r="J18" s="43"/>
      <c r="K18" s="46">
        <f>K9+K17</f>
        <v>1328.32</v>
      </c>
      <c r="L18" s="46">
        <f>L9+L17</f>
        <v>1772.0300000000004</v>
      </c>
      <c r="M18" s="44"/>
      <c r="N18" s="42"/>
      <c r="O18" s="47">
        <f>O9+O17</f>
        <v>1532.67</v>
      </c>
    </row>
    <row r="19" spans="1:15" ht="16.5" customHeight="1">
      <c r="A19" s="60" t="s">
        <v>25</v>
      </c>
      <c r="B19" s="90" t="s">
        <v>40</v>
      </c>
      <c r="C19" s="90"/>
      <c r="D19" s="90"/>
      <c r="E19" s="90"/>
      <c r="F19" s="90"/>
      <c r="G19" s="90"/>
      <c r="H19" s="90"/>
      <c r="I19" s="90"/>
      <c r="J19" s="90"/>
      <c r="K19" s="90"/>
      <c r="L19" s="90"/>
      <c r="M19" s="90"/>
      <c r="N19" s="90"/>
      <c r="O19" s="90"/>
    </row>
    <row r="20" spans="1:15" ht="16.5" customHeight="1">
      <c r="A20" s="61"/>
      <c r="B20" s="91"/>
      <c r="C20" s="91"/>
      <c r="D20" s="91"/>
      <c r="E20" s="91"/>
      <c r="F20" s="91"/>
      <c r="G20" s="91"/>
      <c r="H20" s="91"/>
      <c r="I20" s="91"/>
      <c r="J20" s="91"/>
      <c r="K20" s="91"/>
      <c r="L20" s="91"/>
      <c r="M20" s="91"/>
      <c r="N20" s="91"/>
      <c r="O20" s="91"/>
    </row>
    <row r="21" spans="1:15" ht="16.5" customHeight="1">
      <c r="A21" s="61"/>
      <c r="B21" s="91"/>
      <c r="C21" s="91"/>
      <c r="D21" s="91"/>
      <c r="E21" s="91"/>
      <c r="F21" s="91"/>
      <c r="G21" s="91"/>
      <c r="H21" s="91"/>
      <c r="I21" s="91"/>
      <c r="J21" s="91"/>
      <c r="K21" s="91"/>
      <c r="L21" s="91"/>
      <c r="M21" s="91"/>
      <c r="N21" s="91"/>
      <c r="O21" s="91"/>
    </row>
    <row r="22" spans="1:15" ht="16.5" customHeight="1">
      <c r="A22" s="61"/>
      <c r="B22" s="91"/>
      <c r="C22" s="91"/>
      <c r="D22" s="91"/>
      <c r="E22" s="91"/>
      <c r="F22" s="91"/>
      <c r="G22" s="91"/>
      <c r="H22" s="91"/>
      <c r="I22" s="91"/>
      <c r="J22" s="91"/>
      <c r="K22" s="91"/>
      <c r="L22" s="91"/>
      <c r="M22" s="91"/>
      <c r="N22" s="91"/>
      <c r="O22" s="91"/>
    </row>
    <row r="23" spans="1:15" ht="16.5" customHeight="1">
      <c r="A23" s="61"/>
      <c r="B23" s="91"/>
      <c r="C23" s="91"/>
      <c r="D23" s="91"/>
      <c r="E23" s="91"/>
      <c r="F23" s="91"/>
      <c r="G23" s="91"/>
      <c r="H23" s="91"/>
      <c r="I23" s="91"/>
      <c r="J23" s="91"/>
      <c r="K23" s="91"/>
      <c r="L23" s="91"/>
      <c r="M23" s="91"/>
      <c r="N23" s="91"/>
      <c r="O23" s="91"/>
    </row>
    <row r="24" spans="1:15" ht="16.5" customHeight="1">
      <c r="A24" s="61"/>
      <c r="B24" s="91"/>
      <c r="C24" s="91"/>
      <c r="D24" s="91"/>
      <c r="E24" s="91"/>
      <c r="F24" s="91"/>
      <c r="G24" s="91"/>
      <c r="H24" s="91"/>
      <c r="I24" s="91"/>
      <c r="J24" s="91"/>
      <c r="K24" s="91"/>
      <c r="L24" s="91"/>
      <c r="M24" s="91"/>
      <c r="N24" s="91"/>
      <c r="O24" s="91"/>
    </row>
    <row r="25" spans="1:15" ht="16.5" customHeight="1">
      <c r="A25" s="61"/>
      <c r="B25" s="91"/>
      <c r="C25" s="91"/>
      <c r="D25" s="91"/>
      <c r="E25" s="91"/>
      <c r="F25" s="91"/>
      <c r="G25" s="91"/>
      <c r="H25" s="91"/>
      <c r="I25" s="91"/>
      <c r="J25" s="91"/>
      <c r="K25" s="91"/>
      <c r="L25" s="91"/>
      <c r="M25" s="91"/>
      <c r="N25" s="91"/>
      <c r="O25" s="91"/>
    </row>
    <row r="26" spans="1:15" ht="16.5" customHeight="1">
      <c r="A26" s="61"/>
      <c r="B26" s="91"/>
      <c r="C26" s="91"/>
      <c r="D26" s="91"/>
      <c r="E26" s="91"/>
      <c r="F26" s="91"/>
      <c r="G26" s="91"/>
      <c r="H26" s="91"/>
      <c r="I26" s="91"/>
      <c r="J26" s="91"/>
      <c r="K26" s="91"/>
      <c r="L26" s="91"/>
      <c r="M26" s="91"/>
      <c r="N26" s="91"/>
      <c r="O26" s="91"/>
    </row>
    <row r="27" spans="1:15" ht="16.5" customHeight="1">
      <c r="A27" s="61"/>
      <c r="B27" s="91"/>
      <c r="C27" s="91"/>
      <c r="D27" s="91"/>
      <c r="E27" s="91"/>
      <c r="F27" s="91"/>
      <c r="G27" s="91"/>
      <c r="H27" s="91"/>
      <c r="I27" s="91"/>
      <c r="J27" s="91"/>
      <c r="K27" s="91"/>
      <c r="L27" s="91"/>
      <c r="M27" s="91"/>
      <c r="N27" s="91"/>
      <c r="O27" s="91"/>
    </row>
    <row r="28" spans="1:15" ht="16.5" customHeight="1">
      <c r="A28" s="61"/>
      <c r="B28" s="91"/>
      <c r="C28" s="91"/>
      <c r="D28" s="91"/>
      <c r="E28" s="91"/>
      <c r="F28" s="91"/>
      <c r="G28" s="91"/>
      <c r="H28" s="91"/>
      <c r="I28" s="91"/>
      <c r="J28" s="91"/>
      <c r="K28" s="91"/>
      <c r="L28" s="91"/>
      <c r="M28" s="91"/>
      <c r="N28" s="91"/>
      <c r="O28" s="91"/>
    </row>
    <row r="29" spans="1:15" ht="60.75" customHeight="1">
      <c r="A29" s="61"/>
      <c r="B29" s="91"/>
      <c r="C29" s="91"/>
      <c r="D29" s="91"/>
      <c r="E29" s="91"/>
      <c r="F29" s="91"/>
      <c r="G29" s="91"/>
      <c r="H29" s="91"/>
      <c r="I29" s="91"/>
      <c r="J29" s="91"/>
      <c r="K29" s="91"/>
      <c r="L29" s="91"/>
      <c r="M29" s="91"/>
      <c r="N29" s="91"/>
      <c r="O29" s="91"/>
    </row>
  </sheetData>
  <sheetProtection sheet="1" objects="1" scenarios="1"/>
  <mergeCells count="22">
    <mergeCell ref="H1:L1"/>
    <mergeCell ref="M1:O1"/>
    <mergeCell ref="H3:L8"/>
    <mergeCell ref="M3:O8"/>
    <mergeCell ref="H10:L16"/>
    <mergeCell ref="M10:O16"/>
    <mergeCell ref="C18:G18"/>
    <mergeCell ref="A19:A29"/>
    <mergeCell ref="C9:D9"/>
    <mergeCell ref="A10:A12"/>
    <mergeCell ref="A13:A16"/>
    <mergeCell ref="C16:D16"/>
    <mergeCell ref="B19:O29"/>
    <mergeCell ref="A17:B17"/>
    <mergeCell ref="C17:D17"/>
    <mergeCell ref="A18:B18"/>
    <mergeCell ref="A3:B3"/>
    <mergeCell ref="D3:E5"/>
    <mergeCell ref="F3:G5"/>
    <mergeCell ref="A4:B4"/>
    <mergeCell ref="A5:B5"/>
    <mergeCell ref="A6:A9"/>
  </mergeCells>
  <printOptions horizontalCentered="1"/>
  <pageMargins left="0.3937007874015748" right="0.3937007874015748" top="0.984251968503937" bottom="0.984251968503937" header="0.5118110236220472" footer="0.5118110236220472"/>
  <pageSetup fitToHeight="0" fitToWidth="1" horizontalDpi="300" verticalDpi="300" orientation="landscape" paperSize="9" scale="93" r:id="rId3"/>
  <headerFooter alignWithMargins="0">
    <oddHeader>&amp;C&amp;"Arial,Gras"&amp;12Retraite et Prévoyance - Réintégration des excédents</oddHeader>
  </headerFooter>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O29"/>
  <sheetViews>
    <sheetView zoomScalePageLayoutView="0" workbookViewId="0" topLeftCell="A1">
      <selection activeCell="C3" sqref="C3"/>
    </sheetView>
  </sheetViews>
  <sheetFormatPr defaultColWidth="11.421875" defaultRowHeight="12.75"/>
  <cols>
    <col min="1" max="1" width="23.140625" style="35" customWidth="1"/>
    <col min="2" max="2" width="6.140625" style="36" customWidth="1"/>
    <col min="3" max="3" width="11.00390625" style="35" customWidth="1"/>
    <col min="4" max="4" width="6.8515625" style="35" customWidth="1"/>
    <col min="5" max="5" width="9.421875" style="35" customWidth="1"/>
    <col min="6" max="6" width="7.140625" style="35" customWidth="1"/>
    <col min="7" max="7" width="9.421875" style="35" customWidth="1"/>
    <col min="8" max="8" width="9.8515625" style="35" customWidth="1"/>
    <col min="9" max="10" width="9.7109375" style="35" customWidth="1"/>
    <col min="11" max="12" width="10.28125" style="35" customWidth="1"/>
    <col min="13" max="13" width="9.8515625" style="35" customWidth="1"/>
    <col min="14" max="15" width="9.7109375" style="35" customWidth="1"/>
    <col min="16" max="16384" width="11.421875" style="35" customWidth="1"/>
  </cols>
  <sheetData>
    <row r="1" spans="1:15" s="7" customFormat="1" ht="21" customHeight="1">
      <c r="A1" s="3"/>
      <c r="B1" s="4"/>
      <c r="C1" s="5" t="s">
        <v>19</v>
      </c>
      <c r="D1" s="5"/>
      <c r="E1" s="5"/>
      <c r="F1" s="5"/>
      <c r="G1" s="6"/>
      <c r="H1" s="69" t="s">
        <v>15</v>
      </c>
      <c r="I1" s="70"/>
      <c r="J1" s="70"/>
      <c r="K1" s="70"/>
      <c r="L1" s="71"/>
      <c r="M1" s="72" t="s">
        <v>20</v>
      </c>
      <c r="N1" s="73"/>
      <c r="O1" s="74"/>
    </row>
    <row r="2" spans="1:15" s="18" customFormat="1" ht="23.25" customHeight="1">
      <c r="A2" s="8" t="s">
        <v>21</v>
      </c>
      <c r="B2" s="9"/>
      <c r="C2" s="9" t="s">
        <v>3</v>
      </c>
      <c r="D2" s="10" t="s">
        <v>0</v>
      </c>
      <c r="E2" s="9" t="s">
        <v>9</v>
      </c>
      <c r="F2" s="10" t="s">
        <v>1</v>
      </c>
      <c r="G2" s="11" t="s">
        <v>10</v>
      </c>
      <c r="H2" s="12" t="s">
        <v>13</v>
      </c>
      <c r="I2" s="13" t="s">
        <v>12</v>
      </c>
      <c r="J2" s="13" t="s">
        <v>14</v>
      </c>
      <c r="K2" s="13" t="s">
        <v>17</v>
      </c>
      <c r="L2" s="14" t="s">
        <v>16</v>
      </c>
      <c r="M2" s="15" t="s">
        <v>18</v>
      </c>
      <c r="N2" s="16" t="s">
        <v>31</v>
      </c>
      <c r="O2" s="17" t="s">
        <v>14</v>
      </c>
    </row>
    <row r="3" spans="1:15" s="7" customFormat="1" ht="18" customHeight="1">
      <c r="A3" s="75" t="s">
        <v>2</v>
      </c>
      <c r="B3" s="76"/>
      <c r="C3" s="1">
        <v>150000</v>
      </c>
      <c r="D3" s="77"/>
      <c r="E3" s="78"/>
      <c r="F3" s="81"/>
      <c r="G3" s="82"/>
      <c r="H3" s="85"/>
      <c r="I3" s="86"/>
      <c r="J3" s="86"/>
      <c r="K3" s="86"/>
      <c r="L3" s="87"/>
      <c r="M3" s="85"/>
      <c r="N3" s="86"/>
      <c r="O3" s="87"/>
    </row>
    <row r="4" spans="1:15" s="7" customFormat="1" ht="18" customHeight="1">
      <c r="A4" s="64" t="s">
        <v>28</v>
      </c>
      <c r="B4" s="88"/>
      <c r="C4" s="2"/>
      <c r="D4" s="79"/>
      <c r="E4" s="80"/>
      <c r="F4" s="83"/>
      <c r="G4" s="84"/>
      <c r="H4" s="85"/>
      <c r="I4" s="86"/>
      <c r="J4" s="86"/>
      <c r="K4" s="86"/>
      <c r="L4" s="87"/>
      <c r="M4" s="85"/>
      <c r="N4" s="86"/>
      <c r="O4" s="87"/>
    </row>
    <row r="5" spans="1:15" s="7" customFormat="1" ht="18" customHeight="1">
      <c r="A5" s="64" t="s">
        <v>36</v>
      </c>
      <c r="B5" s="88"/>
      <c r="C5" s="2">
        <v>38616</v>
      </c>
      <c r="D5" s="79"/>
      <c r="E5" s="80"/>
      <c r="F5" s="83"/>
      <c r="G5" s="84"/>
      <c r="H5" s="85"/>
      <c r="I5" s="86"/>
      <c r="J5" s="86"/>
      <c r="K5" s="86"/>
      <c r="L5" s="87"/>
      <c r="M5" s="85"/>
      <c r="N5" s="86"/>
      <c r="O5" s="87"/>
    </row>
    <row r="6" spans="1:15" s="7" customFormat="1" ht="15" customHeight="1">
      <c r="A6" s="64" t="s">
        <v>4</v>
      </c>
      <c r="B6" s="19" t="s">
        <v>5</v>
      </c>
      <c r="C6" s="20">
        <f>IF(Salaire_brut&gt;Plafond_SS,Plafond_SS,Salaire_brut)</f>
        <v>38616</v>
      </c>
      <c r="D6" s="39"/>
      <c r="E6" s="21">
        <f>ROUND(C6*D6/100,2)</f>
        <v>0</v>
      </c>
      <c r="F6" s="40"/>
      <c r="G6" s="22">
        <f>ROUND(C6*F6/100,2)</f>
        <v>0</v>
      </c>
      <c r="H6" s="85"/>
      <c r="I6" s="86"/>
      <c r="J6" s="86"/>
      <c r="K6" s="86"/>
      <c r="L6" s="87"/>
      <c r="M6" s="85"/>
      <c r="N6" s="86"/>
      <c r="O6" s="87"/>
    </row>
    <row r="7" spans="1:15" s="7" customFormat="1" ht="15" customHeight="1">
      <c r="A7" s="64"/>
      <c r="B7" s="19" t="s">
        <v>6</v>
      </c>
      <c r="C7" s="20">
        <f>IF(Salaire_brut&gt;Plafond_SS,MIN(Salaire_brut-Plafond_SS,Plafond_SS*3),0)</f>
        <v>111384</v>
      </c>
      <c r="D7" s="39">
        <v>4</v>
      </c>
      <c r="E7" s="21">
        <f>ROUND(C7*D7/100,2)</f>
        <v>4455.36</v>
      </c>
      <c r="F7" s="40">
        <v>8</v>
      </c>
      <c r="G7" s="22">
        <f>ROUND(C7*F7/100,2)</f>
        <v>8910.72</v>
      </c>
      <c r="H7" s="85"/>
      <c r="I7" s="86"/>
      <c r="J7" s="86"/>
      <c r="K7" s="86"/>
      <c r="L7" s="87"/>
      <c r="M7" s="85"/>
      <c r="N7" s="86"/>
      <c r="O7" s="87"/>
    </row>
    <row r="8" spans="1:15" s="7" customFormat="1" ht="15" customHeight="1">
      <c r="A8" s="64"/>
      <c r="B8" s="19" t="s">
        <v>7</v>
      </c>
      <c r="C8" s="20">
        <f>IF(Salaire_brut&gt;Plafond_SS*4,Salaire_brut-Plafond_SS*4,0)</f>
        <v>0</v>
      </c>
      <c r="D8" s="39">
        <v>4</v>
      </c>
      <c r="E8" s="21">
        <f>ROUND(C8*D8/100,2)</f>
        <v>0</v>
      </c>
      <c r="F8" s="40">
        <v>8</v>
      </c>
      <c r="G8" s="22">
        <f>ROUND(C8*F8/100,2)</f>
        <v>0</v>
      </c>
      <c r="H8" s="85"/>
      <c r="I8" s="86"/>
      <c r="J8" s="86"/>
      <c r="K8" s="86"/>
      <c r="L8" s="87"/>
      <c r="M8" s="85"/>
      <c r="N8" s="86"/>
      <c r="O8" s="87"/>
    </row>
    <row r="9" spans="1:15" s="33" customFormat="1" ht="15" customHeight="1">
      <c r="A9" s="64"/>
      <c r="B9" s="23" t="s">
        <v>8</v>
      </c>
      <c r="C9" s="53"/>
      <c r="D9" s="54"/>
      <c r="E9" s="24">
        <f>SUM(E6:E8)</f>
        <v>4455.36</v>
      </c>
      <c r="F9" s="25"/>
      <c r="G9" s="26">
        <f>SUM(G6:G8)</f>
        <v>8910.72</v>
      </c>
      <c r="H9" s="27">
        <f>E9+G9</f>
        <v>13366.079999999998</v>
      </c>
      <c r="I9" s="28">
        <f>ROUND(MAX(MIN(8%*Salaire_brut,Plafond_SS*8*8%)-AbondPERCO,0),0)</f>
        <v>12000</v>
      </c>
      <c r="J9" s="29">
        <f>MAX(0,H9-I9)</f>
        <v>1366.079999999998</v>
      </c>
      <c r="K9" s="30">
        <f>IF(H9=0,0,ROUND(J9*E9/H9,2))</f>
        <v>455.36</v>
      </c>
      <c r="L9" s="31">
        <f>J9-K9</f>
        <v>910.7199999999981</v>
      </c>
      <c r="M9" s="27">
        <f>G9</f>
        <v>8910.72</v>
      </c>
      <c r="N9" s="28">
        <f>ROUND(MAX(MAX((Plafond_SS*5%),MIN(Salaire_brut,Plafond_SS*5)*5%)-AbondPERCO,0),0)</f>
        <v>7500</v>
      </c>
      <c r="O9" s="32">
        <f>MAX(0,M9-N9)</f>
        <v>1410.7199999999993</v>
      </c>
    </row>
    <row r="10" spans="1:15" s="7" customFormat="1" ht="15" customHeight="1">
      <c r="A10" s="64" t="s">
        <v>11</v>
      </c>
      <c r="B10" s="19" t="s">
        <v>5</v>
      </c>
      <c r="C10" s="20">
        <f>IF(Salaire_brut&gt;Plafond_SS,Plafond_SS,Salaire_brut)</f>
        <v>38616</v>
      </c>
      <c r="D10" s="39">
        <v>0.97</v>
      </c>
      <c r="E10" s="21">
        <f aca="true" t="shared" si="0" ref="E10:E15">ROUND(C10*D10/100,2)</f>
        <v>374.58</v>
      </c>
      <c r="F10" s="40">
        <v>1.95</v>
      </c>
      <c r="G10" s="22">
        <f aca="true" t="shared" si="1" ref="G10:G15">ROUND(C10*F10/100,2)</f>
        <v>753.01</v>
      </c>
      <c r="H10" s="65"/>
      <c r="I10" s="54"/>
      <c r="J10" s="54"/>
      <c r="K10" s="54"/>
      <c r="L10" s="66"/>
      <c r="M10" s="65"/>
      <c r="N10" s="54"/>
      <c r="O10" s="66"/>
    </row>
    <row r="11" spans="1:15" s="7" customFormat="1" ht="15" customHeight="1">
      <c r="A11" s="64"/>
      <c r="B11" s="19" t="s">
        <v>6</v>
      </c>
      <c r="C11" s="20">
        <f>IF(Salaire_brut&gt;Plafond_SS,MIN(Salaire_brut-Plafond_SS,Plafond_SS*3),0)</f>
        <v>111384</v>
      </c>
      <c r="D11" s="39">
        <v>2.23</v>
      </c>
      <c r="E11" s="21">
        <f t="shared" si="0"/>
        <v>2483.86</v>
      </c>
      <c r="F11" s="40">
        <v>2.23</v>
      </c>
      <c r="G11" s="22">
        <f t="shared" si="1"/>
        <v>2483.86</v>
      </c>
      <c r="H11" s="65"/>
      <c r="I11" s="54"/>
      <c r="J11" s="54"/>
      <c r="K11" s="54"/>
      <c r="L11" s="66"/>
      <c r="M11" s="65"/>
      <c r="N11" s="54"/>
      <c r="O11" s="66"/>
    </row>
    <row r="12" spans="1:15" s="7" customFormat="1" ht="15" customHeight="1">
      <c r="A12" s="64"/>
      <c r="B12" s="19" t="s">
        <v>7</v>
      </c>
      <c r="C12" s="20">
        <f>IF(Salaire_brut&gt;Plafond_SS*4,Salaire_brut-Plafond_SS*4,0)</f>
        <v>0</v>
      </c>
      <c r="D12" s="39">
        <v>2.23</v>
      </c>
      <c r="E12" s="21">
        <f t="shared" si="0"/>
        <v>0</v>
      </c>
      <c r="F12" s="40">
        <v>2.23</v>
      </c>
      <c r="G12" s="22">
        <f t="shared" si="1"/>
        <v>0</v>
      </c>
      <c r="H12" s="65"/>
      <c r="I12" s="54"/>
      <c r="J12" s="54"/>
      <c r="K12" s="54"/>
      <c r="L12" s="66"/>
      <c r="M12" s="65"/>
      <c r="N12" s="54"/>
      <c r="O12" s="66"/>
    </row>
    <row r="13" spans="1:15" s="7" customFormat="1" ht="15" customHeight="1">
      <c r="A13" s="64" t="s">
        <v>22</v>
      </c>
      <c r="B13" s="19" t="s">
        <v>5</v>
      </c>
      <c r="C13" s="20">
        <f>IF(Salaire_brut&gt;Plafond_SS,Plafond_SS,Salaire_brut)</f>
        <v>38616</v>
      </c>
      <c r="D13" s="39">
        <v>1.207</v>
      </c>
      <c r="E13" s="21">
        <f t="shared" si="0"/>
        <v>466.1</v>
      </c>
      <c r="F13" s="40">
        <v>3.623</v>
      </c>
      <c r="G13" s="49">
        <f t="shared" si="1"/>
        <v>1399.06</v>
      </c>
      <c r="H13" s="65"/>
      <c r="I13" s="54"/>
      <c r="J13" s="54"/>
      <c r="K13" s="54"/>
      <c r="L13" s="66"/>
      <c r="M13" s="65"/>
      <c r="N13" s="54"/>
      <c r="O13" s="66"/>
    </row>
    <row r="14" spans="1:15" s="7" customFormat="1" ht="15" customHeight="1">
      <c r="A14" s="64"/>
      <c r="B14" s="19" t="s">
        <v>6</v>
      </c>
      <c r="C14" s="20">
        <f>IF(Salaire_brut&gt;Plafond_SS,MIN(Salaire_brut-Plafond_SS,Plafond_SS*3),0)</f>
        <v>111384</v>
      </c>
      <c r="D14" s="39"/>
      <c r="E14" s="21">
        <f t="shared" si="0"/>
        <v>0</v>
      </c>
      <c r="F14" s="40"/>
      <c r="G14" s="50">
        <f t="shared" si="1"/>
        <v>0</v>
      </c>
      <c r="H14" s="65"/>
      <c r="I14" s="54"/>
      <c r="J14" s="54"/>
      <c r="K14" s="54"/>
      <c r="L14" s="66"/>
      <c r="M14" s="65"/>
      <c r="N14" s="54"/>
      <c r="O14" s="66"/>
    </row>
    <row r="15" spans="1:15" s="7" customFormat="1" ht="15" customHeight="1">
      <c r="A15" s="64"/>
      <c r="B15" s="19" t="s">
        <v>7</v>
      </c>
      <c r="C15" s="20">
        <f>IF(Salaire_brut&gt;Plafond_SS*4,Salaire_brut-Plafond_SS*4,0)</f>
        <v>0</v>
      </c>
      <c r="D15" s="39"/>
      <c r="E15" s="21">
        <f t="shared" si="0"/>
        <v>0</v>
      </c>
      <c r="F15" s="40"/>
      <c r="G15" s="50">
        <f t="shared" si="1"/>
        <v>0</v>
      </c>
      <c r="H15" s="65"/>
      <c r="I15" s="54"/>
      <c r="J15" s="54"/>
      <c r="K15" s="54"/>
      <c r="L15" s="66"/>
      <c r="M15" s="65"/>
      <c r="N15" s="54"/>
      <c r="O15" s="66"/>
    </row>
    <row r="16" spans="1:15" s="7" customFormat="1" ht="15" customHeight="1">
      <c r="A16" s="64"/>
      <c r="B16" s="19" t="s">
        <v>23</v>
      </c>
      <c r="C16" s="67"/>
      <c r="D16" s="68"/>
      <c r="E16" s="37"/>
      <c r="F16" s="34"/>
      <c r="G16" s="38"/>
      <c r="H16" s="65"/>
      <c r="I16" s="54"/>
      <c r="J16" s="54"/>
      <c r="K16" s="54"/>
      <c r="L16" s="66"/>
      <c r="M16" s="65"/>
      <c r="N16" s="54"/>
      <c r="O16" s="66"/>
    </row>
    <row r="17" spans="1:15" s="33" customFormat="1" ht="18" customHeight="1">
      <c r="A17" s="51" t="s">
        <v>24</v>
      </c>
      <c r="B17" s="52"/>
      <c r="C17" s="53"/>
      <c r="D17" s="54"/>
      <c r="E17" s="24">
        <f>SUM(E10:E16)</f>
        <v>3324.54</v>
      </c>
      <c r="F17" s="41"/>
      <c r="G17" s="26">
        <f>SUM(G10:G16)</f>
        <v>4635.93</v>
      </c>
      <c r="H17" s="48">
        <f>E17+G17-SUM(G13:G16)</f>
        <v>6561.41</v>
      </c>
      <c r="I17" s="28">
        <f>ROUND(MIN((5%*Plafond_SS)+(2%*(Salaire_brut+SUM(G13:G16))),2%*8*Plafond_SS),0)</f>
        <v>4959</v>
      </c>
      <c r="J17" s="29">
        <f>MAX(0,H17-I17)</f>
        <v>1602.4099999999999</v>
      </c>
      <c r="K17" s="30">
        <f>IF(H17=0,0,ROUND(J17*E17/H17,2))</f>
        <v>811.91</v>
      </c>
      <c r="L17" s="31">
        <f>J17-K17</f>
        <v>790.4999999999999</v>
      </c>
      <c r="M17" s="27">
        <f>G17</f>
        <v>4635.93</v>
      </c>
      <c r="N17" s="28">
        <f>ROUND(MIN((6%*Plafond_SS)+(1.5%*Salaire_brut),12%*Plafond_SS),0)</f>
        <v>4567</v>
      </c>
      <c r="O17" s="32">
        <f>MAX(0,M17-N17)</f>
        <v>68.93000000000029</v>
      </c>
    </row>
    <row r="18" spans="1:15" s="45" customFormat="1" ht="18" customHeight="1" thickBot="1">
      <c r="A18" s="55" t="s">
        <v>26</v>
      </c>
      <c r="B18" s="56"/>
      <c r="C18" s="57"/>
      <c r="D18" s="58"/>
      <c r="E18" s="58"/>
      <c r="F18" s="58"/>
      <c r="G18" s="59"/>
      <c r="H18" s="44"/>
      <c r="I18" s="42"/>
      <c r="J18" s="43"/>
      <c r="K18" s="46">
        <f>K9+K17</f>
        <v>1267.27</v>
      </c>
      <c r="L18" s="46">
        <f>L9+L17</f>
        <v>1701.219999999998</v>
      </c>
      <c r="M18" s="44"/>
      <c r="N18" s="42"/>
      <c r="O18" s="47">
        <f>O9+O17</f>
        <v>1479.6499999999996</v>
      </c>
    </row>
    <row r="19" spans="1:15" ht="16.5" customHeight="1">
      <c r="A19" s="60" t="s">
        <v>25</v>
      </c>
      <c r="B19" s="62" t="s">
        <v>29</v>
      </c>
      <c r="C19" s="62"/>
      <c r="D19" s="62"/>
      <c r="E19" s="62"/>
      <c r="F19" s="62"/>
      <c r="G19" s="62"/>
      <c r="H19" s="62"/>
      <c r="I19" s="62"/>
      <c r="J19" s="62"/>
      <c r="K19" s="62"/>
      <c r="L19" s="62"/>
      <c r="M19" s="62"/>
      <c r="N19" s="62"/>
      <c r="O19" s="62"/>
    </row>
    <row r="20" spans="1:15" ht="16.5" customHeight="1">
      <c r="A20" s="61"/>
      <c r="B20" s="63"/>
      <c r="C20" s="63"/>
      <c r="D20" s="63"/>
      <c r="E20" s="63"/>
      <c r="F20" s="63"/>
      <c r="G20" s="63"/>
      <c r="H20" s="63"/>
      <c r="I20" s="63"/>
      <c r="J20" s="63"/>
      <c r="K20" s="63"/>
      <c r="L20" s="63"/>
      <c r="M20" s="63"/>
      <c r="N20" s="63"/>
      <c r="O20" s="63"/>
    </row>
    <row r="21" spans="1:15" ht="16.5" customHeight="1">
      <c r="A21" s="61"/>
      <c r="B21" s="63"/>
      <c r="C21" s="63"/>
      <c r="D21" s="63"/>
      <c r="E21" s="63"/>
      <c r="F21" s="63"/>
      <c r="G21" s="63"/>
      <c r="H21" s="63"/>
      <c r="I21" s="63"/>
      <c r="J21" s="63"/>
      <c r="K21" s="63"/>
      <c r="L21" s="63"/>
      <c r="M21" s="63"/>
      <c r="N21" s="63"/>
      <c r="O21" s="63"/>
    </row>
    <row r="22" spans="1:15" ht="16.5" customHeight="1">
      <c r="A22" s="61"/>
      <c r="B22" s="63"/>
      <c r="C22" s="63"/>
      <c r="D22" s="63"/>
      <c r="E22" s="63"/>
      <c r="F22" s="63"/>
      <c r="G22" s="63"/>
      <c r="H22" s="63"/>
      <c r="I22" s="63"/>
      <c r="J22" s="63"/>
      <c r="K22" s="63"/>
      <c r="L22" s="63"/>
      <c r="M22" s="63"/>
      <c r="N22" s="63"/>
      <c r="O22" s="63"/>
    </row>
    <row r="23" spans="1:15" ht="16.5" customHeight="1">
      <c r="A23" s="61"/>
      <c r="B23" s="63"/>
      <c r="C23" s="63"/>
      <c r="D23" s="63"/>
      <c r="E23" s="63"/>
      <c r="F23" s="63"/>
      <c r="G23" s="63"/>
      <c r="H23" s="63"/>
      <c r="I23" s="63"/>
      <c r="J23" s="63"/>
      <c r="K23" s="63"/>
      <c r="L23" s="63"/>
      <c r="M23" s="63"/>
      <c r="N23" s="63"/>
      <c r="O23" s="63"/>
    </row>
    <row r="24" spans="1:15" ht="16.5" customHeight="1">
      <c r="A24" s="61"/>
      <c r="B24" s="63"/>
      <c r="C24" s="63"/>
      <c r="D24" s="63"/>
      <c r="E24" s="63"/>
      <c r="F24" s="63"/>
      <c r="G24" s="63"/>
      <c r="H24" s="63"/>
      <c r="I24" s="63"/>
      <c r="J24" s="63"/>
      <c r="K24" s="63"/>
      <c r="L24" s="63"/>
      <c r="M24" s="63"/>
      <c r="N24" s="63"/>
      <c r="O24" s="63"/>
    </row>
    <row r="25" spans="1:15" ht="16.5" customHeight="1">
      <c r="A25" s="61"/>
      <c r="B25" s="63"/>
      <c r="C25" s="63"/>
      <c r="D25" s="63"/>
      <c r="E25" s="63"/>
      <c r="F25" s="63"/>
      <c r="G25" s="63"/>
      <c r="H25" s="63"/>
      <c r="I25" s="63"/>
      <c r="J25" s="63"/>
      <c r="K25" s="63"/>
      <c r="L25" s="63"/>
      <c r="M25" s="63"/>
      <c r="N25" s="63"/>
      <c r="O25" s="63"/>
    </row>
    <row r="26" spans="1:15" ht="16.5" customHeight="1">
      <c r="A26" s="61"/>
      <c r="B26" s="63"/>
      <c r="C26" s="63"/>
      <c r="D26" s="63"/>
      <c r="E26" s="63"/>
      <c r="F26" s="63"/>
      <c r="G26" s="63"/>
      <c r="H26" s="63"/>
      <c r="I26" s="63"/>
      <c r="J26" s="63"/>
      <c r="K26" s="63"/>
      <c r="L26" s="63"/>
      <c r="M26" s="63"/>
      <c r="N26" s="63"/>
      <c r="O26" s="63"/>
    </row>
    <row r="27" spans="1:15" ht="16.5" customHeight="1">
      <c r="A27" s="61"/>
      <c r="B27" s="63"/>
      <c r="C27" s="63"/>
      <c r="D27" s="63"/>
      <c r="E27" s="63"/>
      <c r="F27" s="63"/>
      <c r="G27" s="63"/>
      <c r="H27" s="63"/>
      <c r="I27" s="63"/>
      <c r="J27" s="63"/>
      <c r="K27" s="63"/>
      <c r="L27" s="63"/>
      <c r="M27" s="63"/>
      <c r="N27" s="63"/>
      <c r="O27" s="63"/>
    </row>
    <row r="28" spans="1:15" ht="16.5" customHeight="1">
      <c r="A28" s="61"/>
      <c r="B28" s="63"/>
      <c r="C28" s="63"/>
      <c r="D28" s="63"/>
      <c r="E28" s="63"/>
      <c r="F28" s="63"/>
      <c r="G28" s="63"/>
      <c r="H28" s="63"/>
      <c r="I28" s="63"/>
      <c r="J28" s="63"/>
      <c r="K28" s="63"/>
      <c r="L28" s="63"/>
      <c r="M28" s="63"/>
      <c r="N28" s="63"/>
      <c r="O28" s="63"/>
    </row>
    <row r="29" spans="1:15" ht="16.5" customHeight="1">
      <c r="A29" s="61"/>
      <c r="B29" s="63"/>
      <c r="C29" s="63"/>
      <c r="D29" s="63"/>
      <c r="E29" s="63"/>
      <c r="F29" s="63"/>
      <c r="G29" s="63"/>
      <c r="H29" s="63"/>
      <c r="I29" s="63"/>
      <c r="J29" s="63"/>
      <c r="K29" s="63"/>
      <c r="L29" s="63"/>
      <c r="M29" s="63"/>
      <c r="N29" s="63"/>
      <c r="O29" s="63"/>
    </row>
  </sheetData>
  <sheetProtection sheet="1" objects="1" scenarios="1"/>
  <mergeCells count="22">
    <mergeCell ref="A17:B17"/>
    <mergeCell ref="C17:D17"/>
    <mergeCell ref="A18:B18"/>
    <mergeCell ref="C18:G18"/>
    <mergeCell ref="A19:A29"/>
    <mergeCell ref="B19:O29"/>
    <mergeCell ref="C9:D9"/>
    <mergeCell ref="A10:A12"/>
    <mergeCell ref="H10:L16"/>
    <mergeCell ref="M10:O16"/>
    <mergeCell ref="A13:A16"/>
    <mergeCell ref="C16:D16"/>
    <mergeCell ref="H1:L1"/>
    <mergeCell ref="M1:O1"/>
    <mergeCell ref="A3:B3"/>
    <mergeCell ref="D3:E5"/>
    <mergeCell ref="F3:G5"/>
    <mergeCell ref="H3:L8"/>
    <mergeCell ref="M3:O8"/>
    <mergeCell ref="A4:B4"/>
    <mergeCell ref="A5:B5"/>
    <mergeCell ref="A6:A9"/>
  </mergeCells>
  <printOptions horizontalCentered="1"/>
  <pageMargins left="0.3937007874015748" right="0.3937007874015748" top="0.984251968503937" bottom="0.984251968503937" header="0.5118110236220472" footer="0.5118110236220472"/>
  <pageSetup fitToHeight="0" fitToWidth="1" horizontalDpi="300" verticalDpi="300" orientation="landscape" paperSize="9" scale="93" r:id="rId3"/>
  <headerFooter alignWithMargins="0">
    <oddHeader>&amp;C&amp;"Arial,Gras"&amp;12Retraite et Prévoyance - Réintégration des excédents</oddHead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O29"/>
  <sheetViews>
    <sheetView zoomScalePageLayoutView="0" workbookViewId="0" topLeftCell="A1">
      <selection activeCell="C3" sqref="C3"/>
    </sheetView>
  </sheetViews>
  <sheetFormatPr defaultColWidth="11.421875" defaultRowHeight="12.75"/>
  <cols>
    <col min="1" max="1" width="23.140625" style="35" customWidth="1"/>
    <col min="2" max="2" width="6.140625" style="36" customWidth="1"/>
    <col min="3" max="3" width="11.00390625" style="35" customWidth="1"/>
    <col min="4" max="4" width="6.8515625" style="35" customWidth="1"/>
    <col min="5" max="5" width="9.421875" style="35" customWidth="1"/>
    <col min="6" max="6" width="7.140625" style="35" customWidth="1"/>
    <col min="7" max="7" width="9.421875" style="35" customWidth="1"/>
    <col min="8" max="8" width="9.8515625" style="35" customWidth="1"/>
    <col min="9" max="10" width="9.7109375" style="35" customWidth="1"/>
    <col min="11" max="12" width="10.28125" style="35" customWidth="1"/>
    <col min="13" max="13" width="9.8515625" style="35" customWidth="1"/>
    <col min="14" max="15" width="9.7109375" style="35" customWidth="1"/>
    <col min="16" max="16384" width="11.421875" style="35" customWidth="1"/>
  </cols>
  <sheetData>
    <row r="1" spans="1:15" s="7" customFormat="1" ht="21" customHeight="1">
      <c r="A1" s="3"/>
      <c r="B1" s="4"/>
      <c r="C1" s="5" t="s">
        <v>19</v>
      </c>
      <c r="D1" s="5"/>
      <c r="E1" s="5"/>
      <c r="F1" s="5"/>
      <c r="G1" s="6"/>
      <c r="H1" s="69" t="s">
        <v>15</v>
      </c>
      <c r="I1" s="70"/>
      <c r="J1" s="70"/>
      <c r="K1" s="70"/>
      <c r="L1" s="71"/>
      <c r="M1" s="72" t="s">
        <v>20</v>
      </c>
      <c r="N1" s="73"/>
      <c r="O1" s="74"/>
    </row>
    <row r="2" spans="1:15" s="18" customFormat="1" ht="23.25" customHeight="1">
      <c r="A2" s="8" t="s">
        <v>21</v>
      </c>
      <c r="B2" s="9"/>
      <c r="C2" s="9" t="s">
        <v>3</v>
      </c>
      <c r="D2" s="10" t="s">
        <v>0</v>
      </c>
      <c r="E2" s="9" t="s">
        <v>9</v>
      </c>
      <c r="F2" s="10" t="s">
        <v>1</v>
      </c>
      <c r="G2" s="11" t="s">
        <v>10</v>
      </c>
      <c r="H2" s="12" t="s">
        <v>13</v>
      </c>
      <c r="I2" s="13" t="s">
        <v>12</v>
      </c>
      <c r="J2" s="13" t="s">
        <v>14</v>
      </c>
      <c r="K2" s="13" t="s">
        <v>17</v>
      </c>
      <c r="L2" s="14" t="s">
        <v>16</v>
      </c>
      <c r="M2" s="15" t="s">
        <v>18</v>
      </c>
      <c r="N2" s="16" t="s">
        <v>31</v>
      </c>
      <c r="O2" s="17" t="s">
        <v>14</v>
      </c>
    </row>
    <row r="3" spans="1:15" s="7" customFormat="1" ht="18" customHeight="1">
      <c r="A3" s="75" t="s">
        <v>2</v>
      </c>
      <c r="B3" s="76"/>
      <c r="C3" s="1">
        <v>150000</v>
      </c>
      <c r="D3" s="77"/>
      <c r="E3" s="78"/>
      <c r="F3" s="81"/>
      <c r="G3" s="82"/>
      <c r="H3" s="85"/>
      <c r="I3" s="86"/>
      <c r="J3" s="86"/>
      <c r="K3" s="86"/>
      <c r="L3" s="87"/>
      <c r="M3" s="85"/>
      <c r="N3" s="86"/>
      <c r="O3" s="87"/>
    </row>
    <row r="4" spans="1:15" s="7" customFormat="1" ht="18" customHeight="1">
      <c r="A4" s="64" t="s">
        <v>28</v>
      </c>
      <c r="B4" s="88"/>
      <c r="C4" s="2"/>
      <c r="D4" s="79"/>
      <c r="E4" s="80"/>
      <c r="F4" s="83"/>
      <c r="G4" s="84"/>
      <c r="H4" s="85"/>
      <c r="I4" s="86"/>
      <c r="J4" s="86"/>
      <c r="K4" s="86"/>
      <c r="L4" s="87"/>
      <c r="M4" s="85"/>
      <c r="N4" s="86"/>
      <c r="O4" s="87"/>
    </row>
    <row r="5" spans="1:15" s="7" customFormat="1" ht="18" customHeight="1">
      <c r="A5" s="64" t="s">
        <v>35</v>
      </c>
      <c r="B5" s="88"/>
      <c r="C5" s="2">
        <v>38040</v>
      </c>
      <c r="D5" s="79"/>
      <c r="E5" s="80"/>
      <c r="F5" s="83"/>
      <c r="G5" s="84"/>
      <c r="H5" s="85"/>
      <c r="I5" s="86"/>
      <c r="J5" s="86"/>
      <c r="K5" s="86"/>
      <c r="L5" s="87"/>
      <c r="M5" s="85"/>
      <c r="N5" s="86"/>
      <c r="O5" s="87"/>
    </row>
    <row r="6" spans="1:15" s="7" customFormat="1" ht="15" customHeight="1">
      <c r="A6" s="64" t="s">
        <v>4</v>
      </c>
      <c r="B6" s="19" t="s">
        <v>5</v>
      </c>
      <c r="C6" s="20">
        <f>IF(Salaire_brut&gt;Plafond_SS,Plafond_SS,Salaire_brut)</f>
        <v>38040</v>
      </c>
      <c r="D6" s="39"/>
      <c r="E6" s="21">
        <f>ROUND(C6*D6/100,2)</f>
        <v>0</v>
      </c>
      <c r="F6" s="40"/>
      <c r="G6" s="22">
        <f>ROUND(C6*F6/100,2)</f>
        <v>0</v>
      </c>
      <c r="H6" s="85"/>
      <c r="I6" s="86"/>
      <c r="J6" s="86"/>
      <c r="K6" s="86"/>
      <c r="L6" s="87"/>
      <c r="M6" s="85"/>
      <c r="N6" s="86"/>
      <c r="O6" s="87"/>
    </row>
    <row r="7" spans="1:15" s="7" customFormat="1" ht="15" customHeight="1">
      <c r="A7" s="64"/>
      <c r="B7" s="19" t="s">
        <v>6</v>
      </c>
      <c r="C7" s="20">
        <f>IF(Salaire_brut&gt;Plafond_SS,MIN(Salaire_brut-Plafond_SS,Plafond_SS*3),0)</f>
        <v>111960</v>
      </c>
      <c r="D7" s="39">
        <v>4</v>
      </c>
      <c r="E7" s="21">
        <f>ROUND(C7*D7/100,2)</f>
        <v>4478.4</v>
      </c>
      <c r="F7" s="40">
        <v>8</v>
      </c>
      <c r="G7" s="22">
        <f>ROUND(C7*F7/100,2)</f>
        <v>8956.8</v>
      </c>
      <c r="H7" s="85"/>
      <c r="I7" s="86"/>
      <c r="J7" s="86"/>
      <c r="K7" s="86"/>
      <c r="L7" s="87"/>
      <c r="M7" s="85"/>
      <c r="N7" s="86"/>
      <c r="O7" s="87"/>
    </row>
    <row r="8" spans="1:15" s="7" customFormat="1" ht="15" customHeight="1">
      <c r="A8" s="64"/>
      <c r="B8" s="19" t="s">
        <v>7</v>
      </c>
      <c r="C8" s="20">
        <f>IF(Salaire_brut&gt;Plafond_SS*4,Salaire_brut-Plafond_SS*4,0)</f>
        <v>0</v>
      </c>
      <c r="D8" s="39">
        <v>4</v>
      </c>
      <c r="E8" s="21">
        <f>ROUND(C8*D8/100,2)</f>
        <v>0</v>
      </c>
      <c r="F8" s="40">
        <v>8</v>
      </c>
      <c r="G8" s="22">
        <f>ROUND(C8*F8/100,2)</f>
        <v>0</v>
      </c>
      <c r="H8" s="85"/>
      <c r="I8" s="86"/>
      <c r="J8" s="86"/>
      <c r="K8" s="86"/>
      <c r="L8" s="87"/>
      <c r="M8" s="85"/>
      <c r="N8" s="86"/>
      <c r="O8" s="87"/>
    </row>
    <row r="9" spans="1:15" s="33" customFormat="1" ht="15" customHeight="1">
      <c r="A9" s="64"/>
      <c r="B9" s="23" t="s">
        <v>8</v>
      </c>
      <c r="C9" s="53"/>
      <c r="D9" s="54"/>
      <c r="E9" s="24">
        <f>SUM(E6:E8)</f>
        <v>4478.4</v>
      </c>
      <c r="F9" s="25"/>
      <c r="G9" s="26">
        <f>SUM(G6:G8)</f>
        <v>8956.8</v>
      </c>
      <c r="H9" s="27">
        <f>E9+G9</f>
        <v>13435.199999999999</v>
      </c>
      <c r="I9" s="28">
        <f>ROUND(MAX(MIN(8%*Salaire_brut,Plafond_SS*8*8%)-AbondPERCO,0),0)</f>
        <v>12000</v>
      </c>
      <c r="J9" s="29">
        <f>MAX(0,H9-I9)</f>
        <v>1435.199999999999</v>
      </c>
      <c r="K9" s="30">
        <f>IF(H9=0,0,ROUND(J9*E9/H9,2))</f>
        <v>478.4</v>
      </c>
      <c r="L9" s="31">
        <f>J9-K9</f>
        <v>956.7999999999989</v>
      </c>
      <c r="M9" s="27">
        <f>G9</f>
        <v>8956.8</v>
      </c>
      <c r="N9" s="28">
        <f>ROUND(MAX(MAX((Plafond_SS*5%),MIN(Salaire_brut,Plafond_SS*5)*5%)-AbondPERCO,0),0)</f>
        <v>7500</v>
      </c>
      <c r="O9" s="32">
        <f>MAX(0,M9-N9)</f>
        <v>1456.7999999999993</v>
      </c>
    </row>
    <row r="10" spans="1:15" s="7" customFormat="1" ht="15" customHeight="1">
      <c r="A10" s="64" t="s">
        <v>11</v>
      </c>
      <c r="B10" s="19" t="s">
        <v>5</v>
      </c>
      <c r="C10" s="20">
        <f>IF(Salaire_brut&gt;Plafond_SS,Plafond_SS,Salaire_brut)</f>
        <v>38040</v>
      </c>
      <c r="D10" s="39">
        <v>0.97</v>
      </c>
      <c r="E10" s="21">
        <f aca="true" t="shared" si="0" ref="E10:E15">ROUND(C10*D10/100,2)</f>
        <v>368.99</v>
      </c>
      <c r="F10" s="40">
        <v>1.95</v>
      </c>
      <c r="G10" s="22">
        <f aca="true" t="shared" si="1" ref="G10:G15">ROUND(C10*F10/100,2)</f>
        <v>741.78</v>
      </c>
      <c r="H10" s="65"/>
      <c r="I10" s="54"/>
      <c r="J10" s="54"/>
      <c r="K10" s="54"/>
      <c r="L10" s="66"/>
      <c r="M10" s="65"/>
      <c r="N10" s="54"/>
      <c r="O10" s="66"/>
    </row>
    <row r="11" spans="1:15" s="7" customFormat="1" ht="15" customHeight="1">
      <c r="A11" s="64"/>
      <c r="B11" s="19" t="s">
        <v>6</v>
      </c>
      <c r="C11" s="20">
        <f>IF(Salaire_brut&gt;Plafond_SS,MIN(Salaire_brut-Plafond_SS,Plafond_SS*3),0)</f>
        <v>111960</v>
      </c>
      <c r="D11" s="39">
        <v>2.23</v>
      </c>
      <c r="E11" s="21">
        <f t="shared" si="0"/>
        <v>2496.71</v>
      </c>
      <c r="F11" s="40">
        <v>2.23</v>
      </c>
      <c r="G11" s="22">
        <f t="shared" si="1"/>
        <v>2496.71</v>
      </c>
      <c r="H11" s="65"/>
      <c r="I11" s="54"/>
      <c r="J11" s="54"/>
      <c r="K11" s="54"/>
      <c r="L11" s="66"/>
      <c r="M11" s="65"/>
      <c r="N11" s="54"/>
      <c r="O11" s="66"/>
    </row>
    <row r="12" spans="1:15" s="7" customFormat="1" ht="15" customHeight="1">
      <c r="A12" s="64"/>
      <c r="B12" s="19" t="s">
        <v>7</v>
      </c>
      <c r="C12" s="20">
        <f>IF(Salaire_brut&gt;Plafond_SS*4,Salaire_brut-Plafond_SS*4,0)</f>
        <v>0</v>
      </c>
      <c r="D12" s="39">
        <v>2.23</v>
      </c>
      <c r="E12" s="21">
        <f t="shared" si="0"/>
        <v>0</v>
      </c>
      <c r="F12" s="40">
        <v>2.23</v>
      </c>
      <c r="G12" s="22">
        <f t="shared" si="1"/>
        <v>0</v>
      </c>
      <c r="H12" s="65"/>
      <c r="I12" s="54"/>
      <c r="J12" s="54"/>
      <c r="K12" s="54"/>
      <c r="L12" s="66"/>
      <c r="M12" s="65"/>
      <c r="N12" s="54"/>
      <c r="O12" s="66"/>
    </row>
    <row r="13" spans="1:15" s="7" customFormat="1" ht="15" customHeight="1">
      <c r="A13" s="64" t="s">
        <v>22</v>
      </c>
      <c r="B13" s="19" t="s">
        <v>5</v>
      </c>
      <c r="C13" s="20">
        <f>IF(Salaire_brut&gt;Plafond_SS,Plafond_SS,Salaire_brut)</f>
        <v>38040</v>
      </c>
      <c r="D13" s="39">
        <v>1.207</v>
      </c>
      <c r="E13" s="21">
        <f t="shared" si="0"/>
        <v>459.14</v>
      </c>
      <c r="F13" s="40">
        <v>3.623</v>
      </c>
      <c r="G13" s="49">
        <f t="shared" si="1"/>
        <v>1378.19</v>
      </c>
      <c r="H13" s="65"/>
      <c r="I13" s="54"/>
      <c r="J13" s="54"/>
      <c r="K13" s="54"/>
      <c r="L13" s="66"/>
      <c r="M13" s="65"/>
      <c r="N13" s="54"/>
      <c r="O13" s="66"/>
    </row>
    <row r="14" spans="1:15" s="7" customFormat="1" ht="15" customHeight="1">
      <c r="A14" s="64"/>
      <c r="B14" s="19" t="s">
        <v>6</v>
      </c>
      <c r="C14" s="20">
        <f>IF(Salaire_brut&gt;Plafond_SS,MIN(Salaire_brut-Plafond_SS,Plafond_SS*3),0)</f>
        <v>111960</v>
      </c>
      <c r="D14" s="39"/>
      <c r="E14" s="21">
        <f t="shared" si="0"/>
        <v>0</v>
      </c>
      <c r="F14" s="40"/>
      <c r="G14" s="50">
        <f t="shared" si="1"/>
        <v>0</v>
      </c>
      <c r="H14" s="65"/>
      <c r="I14" s="54"/>
      <c r="J14" s="54"/>
      <c r="K14" s="54"/>
      <c r="L14" s="66"/>
      <c r="M14" s="65"/>
      <c r="N14" s="54"/>
      <c r="O14" s="66"/>
    </row>
    <row r="15" spans="1:15" s="7" customFormat="1" ht="15" customHeight="1">
      <c r="A15" s="64"/>
      <c r="B15" s="19" t="s">
        <v>7</v>
      </c>
      <c r="C15" s="20">
        <f>IF(Salaire_brut&gt;Plafond_SS*4,Salaire_brut-Plafond_SS*4,0)</f>
        <v>0</v>
      </c>
      <c r="D15" s="39"/>
      <c r="E15" s="21">
        <f t="shared" si="0"/>
        <v>0</v>
      </c>
      <c r="F15" s="40"/>
      <c r="G15" s="50">
        <f t="shared" si="1"/>
        <v>0</v>
      </c>
      <c r="H15" s="65"/>
      <c r="I15" s="54"/>
      <c r="J15" s="54"/>
      <c r="K15" s="54"/>
      <c r="L15" s="66"/>
      <c r="M15" s="65"/>
      <c r="N15" s="54"/>
      <c r="O15" s="66"/>
    </row>
    <row r="16" spans="1:15" s="7" customFormat="1" ht="15" customHeight="1">
      <c r="A16" s="64"/>
      <c r="B16" s="19" t="s">
        <v>23</v>
      </c>
      <c r="C16" s="67"/>
      <c r="D16" s="68"/>
      <c r="E16" s="37"/>
      <c r="F16" s="34"/>
      <c r="G16" s="38"/>
      <c r="H16" s="65"/>
      <c r="I16" s="54"/>
      <c r="J16" s="54"/>
      <c r="K16" s="54"/>
      <c r="L16" s="66"/>
      <c r="M16" s="65"/>
      <c r="N16" s="54"/>
      <c r="O16" s="66"/>
    </row>
    <row r="17" spans="1:15" s="33" customFormat="1" ht="18" customHeight="1">
      <c r="A17" s="51" t="s">
        <v>24</v>
      </c>
      <c r="B17" s="52"/>
      <c r="C17" s="53"/>
      <c r="D17" s="54"/>
      <c r="E17" s="24">
        <f>SUM(E10:E16)</f>
        <v>3324.8399999999997</v>
      </c>
      <c r="F17" s="41"/>
      <c r="G17" s="26">
        <f>SUM(G10:G16)</f>
        <v>4616.68</v>
      </c>
      <c r="H17" s="48">
        <f>E17+G17-SUM(G13:G16)</f>
        <v>6563.33</v>
      </c>
      <c r="I17" s="28">
        <f>ROUND(MIN((5%*Plafond_SS)+(2%*(Salaire_brut+SUM(G13:G16))),2%*8*Plafond_SS),0)</f>
        <v>4930</v>
      </c>
      <c r="J17" s="29">
        <f>MAX(0,H17-I17)</f>
        <v>1633.33</v>
      </c>
      <c r="K17" s="30">
        <f>IF(H17=0,0,ROUND(J17*E17/H17,2))</f>
        <v>827.41</v>
      </c>
      <c r="L17" s="31">
        <f>J17-K17</f>
        <v>805.92</v>
      </c>
      <c r="M17" s="27">
        <f>G17</f>
        <v>4616.68</v>
      </c>
      <c r="N17" s="28">
        <f>ROUND(MIN((6%*Plafond_SS)+(1.5%*Salaire_brut),12%*Plafond_SS),0)</f>
        <v>4532</v>
      </c>
      <c r="O17" s="32">
        <f>MAX(0,M17-N17)</f>
        <v>84.68000000000029</v>
      </c>
    </row>
    <row r="18" spans="1:15" s="45" customFormat="1" ht="18" customHeight="1" thickBot="1">
      <c r="A18" s="55" t="s">
        <v>26</v>
      </c>
      <c r="B18" s="56"/>
      <c r="C18" s="57"/>
      <c r="D18" s="58"/>
      <c r="E18" s="58"/>
      <c r="F18" s="58"/>
      <c r="G18" s="59"/>
      <c r="H18" s="44"/>
      <c r="I18" s="42"/>
      <c r="J18" s="43"/>
      <c r="K18" s="46">
        <f>K9+K17</f>
        <v>1305.81</v>
      </c>
      <c r="L18" s="46">
        <f>L9+L17</f>
        <v>1762.719999999999</v>
      </c>
      <c r="M18" s="44"/>
      <c r="N18" s="42"/>
      <c r="O18" s="47">
        <f>O9+O17</f>
        <v>1541.4799999999996</v>
      </c>
    </row>
    <row r="19" spans="1:15" ht="16.5" customHeight="1">
      <c r="A19" s="60" t="s">
        <v>25</v>
      </c>
      <c r="B19" s="62" t="s">
        <v>29</v>
      </c>
      <c r="C19" s="62"/>
      <c r="D19" s="62"/>
      <c r="E19" s="62"/>
      <c r="F19" s="62"/>
      <c r="G19" s="62"/>
      <c r="H19" s="62"/>
      <c r="I19" s="62"/>
      <c r="J19" s="62"/>
      <c r="K19" s="62"/>
      <c r="L19" s="62"/>
      <c r="M19" s="62"/>
      <c r="N19" s="62"/>
      <c r="O19" s="62"/>
    </row>
    <row r="20" spans="1:15" ht="16.5" customHeight="1">
      <c r="A20" s="61"/>
      <c r="B20" s="63"/>
      <c r="C20" s="63"/>
      <c r="D20" s="63"/>
      <c r="E20" s="63"/>
      <c r="F20" s="63"/>
      <c r="G20" s="63"/>
      <c r="H20" s="63"/>
      <c r="I20" s="63"/>
      <c r="J20" s="63"/>
      <c r="K20" s="63"/>
      <c r="L20" s="63"/>
      <c r="M20" s="63"/>
      <c r="N20" s="63"/>
      <c r="O20" s="63"/>
    </row>
    <row r="21" spans="1:15" ht="16.5" customHeight="1">
      <c r="A21" s="61"/>
      <c r="B21" s="63"/>
      <c r="C21" s="63"/>
      <c r="D21" s="63"/>
      <c r="E21" s="63"/>
      <c r="F21" s="63"/>
      <c r="G21" s="63"/>
      <c r="H21" s="63"/>
      <c r="I21" s="63"/>
      <c r="J21" s="63"/>
      <c r="K21" s="63"/>
      <c r="L21" s="63"/>
      <c r="M21" s="63"/>
      <c r="N21" s="63"/>
      <c r="O21" s="63"/>
    </row>
    <row r="22" spans="1:15" ht="16.5" customHeight="1">
      <c r="A22" s="61"/>
      <c r="B22" s="63"/>
      <c r="C22" s="63"/>
      <c r="D22" s="63"/>
      <c r="E22" s="63"/>
      <c r="F22" s="63"/>
      <c r="G22" s="63"/>
      <c r="H22" s="63"/>
      <c r="I22" s="63"/>
      <c r="J22" s="63"/>
      <c r="K22" s="63"/>
      <c r="L22" s="63"/>
      <c r="M22" s="63"/>
      <c r="N22" s="63"/>
      <c r="O22" s="63"/>
    </row>
    <row r="23" spans="1:15" ht="16.5" customHeight="1">
      <c r="A23" s="61"/>
      <c r="B23" s="63"/>
      <c r="C23" s="63"/>
      <c r="D23" s="63"/>
      <c r="E23" s="63"/>
      <c r="F23" s="63"/>
      <c r="G23" s="63"/>
      <c r="H23" s="63"/>
      <c r="I23" s="63"/>
      <c r="J23" s="63"/>
      <c r="K23" s="63"/>
      <c r="L23" s="63"/>
      <c r="M23" s="63"/>
      <c r="N23" s="63"/>
      <c r="O23" s="63"/>
    </row>
    <row r="24" spans="1:15" ht="16.5" customHeight="1">
      <c r="A24" s="61"/>
      <c r="B24" s="63"/>
      <c r="C24" s="63"/>
      <c r="D24" s="63"/>
      <c r="E24" s="63"/>
      <c r="F24" s="63"/>
      <c r="G24" s="63"/>
      <c r="H24" s="63"/>
      <c r="I24" s="63"/>
      <c r="J24" s="63"/>
      <c r="K24" s="63"/>
      <c r="L24" s="63"/>
      <c r="M24" s="63"/>
      <c r="N24" s="63"/>
      <c r="O24" s="63"/>
    </row>
    <row r="25" spans="1:15" ht="16.5" customHeight="1">
      <c r="A25" s="61"/>
      <c r="B25" s="63"/>
      <c r="C25" s="63"/>
      <c r="D25" s="63"/>
      <c r="E25" s="63"/>
      <c r="F25" s="63"/>
      <c r="G25" s="63"/>
      <c r="H25" s="63"/>
      <c r="I25" s="63"/>
      <c r="J25" s="63"/>
      <c r="K25" s="63"/>
      <c r="L25" s="63"/>
      <c r="M25" s="63"/>
      <c r="N25" s="63"/>
      <c r="O25" s="63"/>
    </row>
    <row r="26" spans="1:15" ht="16.5" customHeight="1">
      <c r="A26" s="61"/>
      <c r="B26" s="63"/>
      <c r="C26" s="63"/>
      <c r="D26" s="63"/>
      <c r="E26" s="63"/>
      <c r="F26" s="63"/>
      <c r="G26" s="63"/>
      <c r="H26" s="63"/>
      <c r="I26" s="63"/>
      <c r="J26" s="63"/>
      <c r="K26" s="63"/>
      <c r="L26" s="63"/>
      <c r="M26" s="63"/>
      <c r="N26" s="63"/>
      <c r="O26" s="63"/>
    </row>
    <row r="27" spans="1:15" ht="16.5" customHeight="1">
      <c r="A27" s="61"/>
      <c r="B27" s="63"/>
      <c r="C27" s="63"/>
      <c r="D27" s="63"/>
      <c r="E27" s="63"/>
      <c r="F27" s="63"/>
      <c r="G27" s="63"/>
      <c r="H27" s="63"/>
      <c r="I27" s="63"/>
      <c r="J27" s="63"/>
      <c r="K27" s="63"/>
      <c r="L27" s="63"/>
      <c r="M27" s="63"/>
      <c r="N27" s="63"/>
      <c r="O27" s="63"/>
    </row>
    <row r="28" spans="1:15" ht="16.5" customHeight="1">
      <c r="A28" s="61"/>
      <c r="B28" s="63"/>
      <c r="C28" s="63"/>
      <c r="D28" s="63"/>
      <c r="E28" s="63"/>
      <c r="F28" s="63"/>
      <c r="G28" s="63"/>
      <c r="H28" s="63"/>
      <c r="I28" s="63"/>
      <c r="J28" s="63"/>
      <c r="K28" s="63"/>
      <c r="L28" s="63"/>
      <c r="M28" s="63"/>
      <c r="N28" s="63"/>
      <c r="O28" s="63"/>
    </row>
    <row r="29" spans="1:15" ht="16.5" customHeight="1">
      <c r="A29" s="61"/>
      <c r="B29" s="63"/>
      <c r="C29" s="63"/>
      <c r="D29" s="63"/>
      <c r="E29" s="63"/>
      <c r="F29" s="63"/>
      <c r="G29" s="63"/>
      <c r="H29" s="63"/>
      <c r="I29" s="63"/>
      <c r="J29" s="63"/>
      <c r="K29" s="63"/>
      <c r="L29" s="63"/>
      <c r="M29" s="63"/>
      <c r="N29" s="63"/>
      <c r="O29" s="63"/>
    </row>
  </sheetData>
  <sheetProtection sheet="1" objects="1" scenarios="1"/>
  <mergeCells count="22">
    <mergeCell ref="H1:L1"/>
    <mergeCell ref="M1:O1"/>
    <mergeCell ref="A3:B3"/>
    <mergeCell ref="D3:E5"/>
    <mergeCell ref="F3:G5"/>
    <mergeCell ref="H3:L8"/>
    <mergeCell ref="M3:O8"/>
    <mergeCell ref="A4:B4"/>
    <mergeCell ref="A5:B5"/>
    <mergeCell ref="A6:A9"/>
    <mergeCell ref="C9:D9"/>
    <mergeCell ref="A10:A12"/>
    <mergeCell ref="H10:L16"/>
    <mergeCell ref="M10:O16"/>
    <mergeCell ref="A13:A16"/>
    <mergeCell ref="C16:D16"/>
    <mergeCell ref="A17:B17"/>
    <mergeCell ref="C17:D17"/>
    <mergeCell ref="A18:B18"/>
    <mergeCell ref="C18:G18"/>
    <mergeCell ref="A19:A29"/>
    <mergeCell ref="B19:O29"/>
  </mergeCells>
  <printOptions horizontalCentered="1"/>
  <pageMargins left="0.3937007874015748" right="0.3937007874015748" top="0.984251968503937" bottom="0.984251968503937" header="0.5118110236220472" footer="0.5118110236220472"/>
  <pageSetup fitToHeight="0" fitToWidth="1" horizontalDpi="300" verticalDpi="300" orientation="landscape" paperSize="9" scale="93" r:id="rId3"/>
  <headerFooter alignWithMargins="0">
    <oddHeader>&amp;C&amp;"Arial,Gras"&amp;12Retraite et Prévoyance - Réintégration des excédents</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LD Système Informatique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Jocelyn MOTTIN</dc:creator>
  <cp:keywords/>
  <dc:description/>
  <cp:lastModifiedBy>David LE BESNERAIS</cp:lastModifiedBy>
  <cp:lastPrinted>2017-12-14T08:09:49Z</cp:lastPrinted>
  <dcterms:created xsi:type="dcterms:W3CDTF">2009-12-22T14:13:40Z</dcterms:created>
  <dcterms:modified xsi:type="dcterms:W3CDTF">2023-12-11T16:49:36Z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BUILTIN\Administrateurs</vt:lpwstr>
  </property>
  <property fmtid="{D5CDD505-2E9C-101B-9397-08002B2CF9AE}" pid="3" name="Order">
    <vt:lpwstr>23800.0000000000</vt:lpwstr>
  </property>
  <property fmtid="{D5CDD505-2E9C-101B-9397-08002B2CF9AE}" pid="4" name="display_urn:schemas-microsoft-com:office:office#Author">
    <vt:lpwstr>BUILTIN\Administrateurs</vt:lpwstr>
  </property>
</Properties>
</file>